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 codeName="{B6124F1A-AFFB-F854-7757-9A1D4C6FC43C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d.docs.live.net/fccb4ede7c349988/Desktop/Clear Roads/Projects/In-Progress/19-03 Efficiency of Tow-Wing Plows/Deliverables/"/>
    </mc:Choice>
  </mc:AlternateContent>
  <xr:revisionPtr revIDLastSave="0" documentId="8_{42368278-F666-4B72-B867-7D36ADF22D6C}" xr6:coauthVersionLast="47" xr6:coauthVersionMax="47" xr10:uidLastSave="{00000000-0000-0000-0000-000000000000}"/>
  <bookViews>
    <workbookView xWindow="-108" yWindow="-108" windowWidth="23256" windowHeight="13896" firstSheet="1" activeTab="10" xr2:uid="{00000000-000D-0000-FFFF-FFFF00000000}"/>
  </bookViews>
  <sheets>
    <sheet name="User Interface" sheetId="3" r:id="rId1"/>
    <sheet name="Plow Conf &amp; Procure" sheetId="1" r:id="rId2"/>
    <sheet name="Plow Operating Cost" sheetId="2" r:id="rId3"/>
    <sheet name="Define Route" sheetId="4" r:id="rId4"/>
    <sheet name="Segment Library" sheetId="8" r:id="rId5"/>
    <sheet name="Nodes Library" sheetId="9" r:id="rId6"/>
    <sheet name="Diverge Left" sheetId="14" r:id="rId7"/>
    <sheet name="Diverge Right" sheetId="13" r:id="rId8"/>
    <sheet name="Left Through" sheetId="12" r:id="rId9"/>
    <sheet name="Right Through" sheetId="11" r:id="rId10"/>
    <sheet name="Comparison" sheetId="16" r:id="rId11"/>
  </sheets>
  <functionGroups builtInGroupCount="19"/>
  <definedNames>
    <definedName name="inputInfo">'User Interface'!$N$27:$R$30</definedName>
    <definedName name="plowInfo">'User Interface'!$N$7:$U$22</definedName>
    <definedName name="plowRouteCategories">'User Interface'!$N$27:$O$30</definedName>
    <definedName name="_xlnm.Print_Titles" localSheetId="6">'Diverge Left'!$1:$1</definedName>
    <definedName name="_xlnm.Print_Titles" localSheetId="7">'Diverge Right'!$1:$1</definedName>
    <definedName name="_xlnm.Print_Titles" localSheetId="8">'Left Through'!$1:$1</definedName>
    <definedName name="_xlnm.Print_Titles" localSheetId="9">'Right Through'!$1:$1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1" l="1"/>
  <c r="P24" i="1"/>
  <c r="S30" i="1"/>
  <c r="R32" i="1"/>
  <c r="R31" i="1"/>
  <c r="R30" i="1"/>
  <c r="Q32" i="1"/>
  <c r="Q31" i="1"/>
  <c r="T32" i="1"/>
  <c r="T31" i="1"/>
  <c r="U30" i="1"/>
  <c r="V32" i="1"/>
  <c r="V31" i="1"/>
  <c r="V30" i="1"/>
  <c r="U31" i="1" l="1"/>
  <c r="N19" i="2" l="1"/>
  <c r="N7" i="2"/>
  <c r="N6" i="2"/>
  <c r="R26" i="1" l="1"/>
  <c r="Q25" i="1"/>
  <c r="Q24" i="1"/>
  <c r="R24" i="1" s="1"/>
  <c r="Q20" i="1"/>
  <c r="Q19" i="1"/>
  <c r="Q18" i="1"/>
  <c r="Q17" i="1"/>
  <c r="Q16" i="1"/>
  <c r="R16" i="1" s="1"/>
  <c r="Q12" i="1"/>
  <c r="Q11" i="1"/>
  <c r="P7" i="1"/>
  <c r="P6" i="1"/>
  <c r="P5" i="1"/>
  <c r="R11" i="1" l="1"/>
  <c r="Q5" i="1"/>
  <c r="B20" i="2"/>
  <c r="B19" i="2"/>
  <c r="O19" i="2"/>
  <c r="B18" i="2"/>
  <c r="B17" i="2"/>
  <c r="S20" i="3" l="1"/>
  <c r="D49" i="16" l="1"/>
  <c r="D48" i="16"/>
  <c r="D47" i="16"/>
  <c r="D46" i="16"/>
  <c r="D45" i="16"/>
  <c r="D44" i="16"/>
  <c r="D43" i="16"/>
  <c r="D42" i="16"/>
  <c r="D41" i="16"/>
  <c r="C49" i="16"/>
  <c r="C48" i="16"/>
  <c r="C47" i="16"/>
  <c r="C46" i="16"/>
  <c r="C45" i="16"/>
  <c r="C44" i="16"/>
  <c r="C43" i="16"/>
  <c r="C42" i="16"/>
  <c r="C41" i="16"/>
  <c r="B49" i="16"/>
  <c r="B48" i="16"/>
  <c r="B47" i="16"/>
  <c r="B46" i="16"/>
  <c r="B45" i="16"/>
  <c r="B44" i="16"/>
  <c r="B43" i="16"/>
  <c r="B42" i="16"/>
  <c r="B41" i="16"/>
  <c r="D37" i="16"/>
  <c r="D36" i="16"/>
  <c r="D35" i="16"/>
  <c r="D34" i="16"/>
  <c r="D33" i="16"/>
  <c r="D32" i="16"/>
  <c r="D31" i="16"/>
  <c r="D30" i="16"/>
  <c r="D29" i="16"/>
  <c r="D25" i="16"/>
  <c r="D24" i="16"/>
  <c r="D23" i="16"/>
  <c r="D22" i="16"/>
  <c r="D21" i="16"/>
  <c r="D20" i="16"/>
  <c r="D19" i="16"/>
  <c r="D18" i="16"/>
  <c r="D17" i="16"/>
  <c r="D13" i="16"/>
  <c r="D12" i="16"/>
  <c r="D11" i="16"/>
  <c r="D10" i="16"/>
  <c r="D9" i="16"/>
  <c r="D8" i="16"/>
  <c r="D7" i="16"/>
  <c r="D6" i="16"/>
  <c r="D5" i="16"/>
  <c r="C37" i="16"/>
  <c r="C36" i="16"/>
  <c r="C35" i="16"/>
  <c r="C34" i="16"/>
  <c r="C33" i="16"/>
  <c r="C32" i="16"/>
  <c r="C31" i="16"/>
  <c r="C30" i="16"/>
  <c r="C29" i="16"/>
  <c r="B37" i="16"/>
  <c r="B36" i="16"/>
  <c r="B35" i="16"/>
  <c r="B34" i="16"/>
  <c r="B33" i="16"/>
  <c r="B32" i="16"/>
  <c r="B31" i="16"/>
  <c r="B30" i="16"/>
  <c r="B29" i="16"/>
  <c r="C25" i="16"/>
  <c r="C24" i="16"/>
  <c r="C23" i="16"/>
  <c r="C22" i="16"/>
  <c r="C21" i="16"/>
  <c r="C20" i="16"/>
  <c r="C19" i="16"/>
  <c r="C18" i="16"/>
  <c r="C17" i="16"/>
  <c r="B25" i="16"/>
  <c r="B24" i="16"/>
  <c r="B23" i="16"/>
  <c r="B22" i="16"/>
  <c r="B21" i="16"/>
  <c r="B20" i="16"/>
  <c r="B19" i="16"/>
  <c r="B18" i="16"/>
  <c r="B17" i="16"/>
  <c r="C13" i="16"/>
  <c r="C12" i="16"/>
  <c r="C11" i="16"/>
  <c r="C10" i="16"/>
  <c r="C9" i="16"/>
  <c r="C8" i="16"/>
  <c r="C7" i="16"/>
  <c r="C6" i="16"/>
  <c r="C5" i="16"/>
  <c r="B13" i="16"/>
  <c r="B12" i="16"/>
  <c r="B11" i="16"/>
  <c r="B10" i="16"/>
  <c r="B9" i="16"/>
  <c r="B8" i="16"/>
  <c r="B7" i="16"/>
  <c r="B6" i="16"/>
  <c r="B5" i="16"/>
  <c r="B9" i="4" l="1"/>
  <c r="B13" i="4"/>
  <c r="B14" i="4"/>
  <c r="B15" i="4"/>
  <c r="B16" i="4"/>
  <c r="B17" i="4"/>
  <c r="B18" i="4"/>
  <c r="B19" i="4"/>
  <c r="B20" i="4"/>
  <c r="B21" i="4"/>
  <c r="B22" i="4"/>
  <c r="B24" i="4"/>
  <c r="B26" i="4"/>
  <c r="B25" i="4"/>
  <c r="B23" i="4"/>
  <c r="B8" i="4"/>
  <c r="P11" i="1" l="1"/>
  <c r="O11" i="1"/>
  <c r="M12" i="1"/>
  <c r="M11" i="1"/>
  <c r="L11" i="1"/>
  <c r="B16" i="2" l="1"/>
  <c r="B15" i="2"/>
  <c r="B14" i="2"/>
  <c r="B13" i="2"/>
  <c r="B12" i="2"/>
  <c r="B11" i="2"/>
  <c r="B10" i="2"/>
  <c r="B9" i="2"/>
  <c r="B8" i="2"/>
  <c r="P8" i="2" s="1"/>
  <c r="B7" i="2"/>
  <c r="B6" i="2"/>
  <c r="B5" i="2"/>
  <c r="N22" i="3"/>
  <c r="N21" i="3"/>
  <c r="N20" i="3"/>
  <c r="N18" i="3"/>
  <c r="N19" i="3"/>
  <c r="N17" i="3"/>
  <c r="N9" i="3"/>
  <c r="N7" i="3"/>
  <c r="N8" i="3"/>
  <c r="N10" i="3"/>
  <c r="N11" i="3"/>
  <c r="N14" i="3"/>
  <c r="N13" i="3"/>
  <c r="N16" i="3"/>
  <c r="N15" i="3"/>
  <c r="N12" i="3"/>
  <c r="P9" i="2" l="1"/>
  <c r="R9" i="2"/>
  <c r="U26" i="3"/>
  <c r="U27" i="3" l="1"/>
  <c r="U24" i="3"/>
  <c r="U23" i="3"/>
  <c r="U28" i="3" l="1"/>
  <c r="L16" i="1" l="1"/>
  <c r="J41" i="3" l="1"/>
  <c r="P32" i="1" l="1"/>
  <c r="P20" i="2" s="1"/>
  <c r="P31" i="1"/>
  <c r="P19" i="2" s="1"/>
  <c r="Q19" i="2" s="1"/>
  <c r="R19" i="2" s="1"/>
  <c r="P30" i="1"/>
  <c r="P18" i="2" s="1"/>
  <c r="M26" i="1"/>
  <c r="P17" i="2" s="1"/>
  <c r="M25" i="1"/>
  <c r="P16" i="2" s="1"/>
  <c r="M24" i="1"/>
  <c r="P15" i="2" s="1"/>
  <c r="M20" i="1"/>
  <c r="R16" i="3" s="1"/>
  <c r="M19" i="1"/>
  <c r="P13" i="2" s="1"/>
  <c r="M18" i="1"/>
  <c r="P12" i="2" s="1"/>
  <c r="M17" i="1"/>
  <c r="P11" i="2" s="1"/>
  <c r="M16" i="1"/>
  <c r="P10" i="2" s="1"/>
  <c r="L7" i="1"/>
  <c r="L6" i="1"/>
  <c r="L5" i="1"/>
  <c r="K17" i="4"/>
  <c r="U22" i="3"/>
  <c r="U21" i="3"/>
  <c r="U20" i="3"/>
  <c r="U19" i="3"/>
  <c r="U18" i="3"/>
  <c r="U17" i="3"/>
  <c r="U14" i="3"/>
  <c r="U13" i="3"/>
  <c r="U12" i="3"/>
  <c r="U11" i="3"/>
  <c r="U10" i="3"/>
  <c r="U9" i="3"/>
  <c r="U8" i="3"/>
  <c r="U16" i="3"/>
  <c r="U15" i="3"/>
  <c r="U7" i="3"/>
  <c r="P26" i="1"/>
  <c r="O31" i="1"/>
  <c r="J45" i="3" s="1"/>
  <c r="O30" i="1"/>
  <c r="J44" i="3" s="1"/>
  <c r="R22" i="3"/>
  <c r="R21" i="3"/>
  <c r="Q30" i="1"/>
  <c r="R20" i="3" s="1"/>
  <c r="S22" i="3"/>
  <c r="S21" i="3"/>
  <c r="L24" i="1"/>
  <c r="J42" i="3" s="1"/>
  <c r="L26" i="1"/>
  <c r="J43" i="3" s="1"/>
  <c r="N24" i="1"/>
  <c r="R17" i="3" s="1"/>
  <c r="N26" i="1"/>
  <c r="R19" i="3" s="1"/>
  <c r="N25" i="1"/>
  <c r="R18" i="3" s="1"/>
  <c r="O24" i="1"/>
  <c r="S17" i="3" s="1"/>
  <c r="O26" i="1"/>
  <c r="S19" i="3" s="1"/>
  <c r="O25" i="1"/>
  <c r="S18" i="3" s="1"/>
  <c r="O14" i="2"/>
  <c r="O13" i="2"/>
  <c r="O12" i="2"/>
  <c r="O11" i="2"/>
  <c r="P16" i="1"/>
  <c r="N16" i="1"/>
  <c r="R12" i="3" s="1"/>
  <c r="N20" i="1"/>
  <c r="N19" i="1"/>
  <c r="N18" i="1"/>
  <c r="R14" i="3" s="1"/>
  <c r="N17" i="1"/>
  <c r="R13" i="3" s="1"/>
  <c r="O16" i="1"/>
  <c r="S12" i="3" s="1"/>
  <c r="O20" i="1"/>
  <c r="O19" i="1"/>
  <c r="S15" i="3" s="1"/>
  <c r="O18" i="1"/>
  <c r="S14" i="3" s="1"/>
  <c r="O17" i="1"/>
  <c r="S13" i="3" s="1"/>
  <c r="O5" i="1"/>
  <c r="Q13" i="2" l="1"/>
  <c r="O15" i="3" s="1"/>
  <c r="P14" i="2"/>
  <c r="N12" i="2"/>
  <c r="O7" i="2"/>
  <c r="O18" i="2"/>
  <c r="N18" i="2"/>
  <c r="N17" i="2"/>
  <c r="N20" i="2"/>
  <c r="O20" i="2"/>
  <c r="Q20" i="2" s="1"/>
  <c r="O17" i="2"/>
  <c r="O16" i="2"/>
  <c r="O15" i="2"/>
  <c r="O5" i="2"/>
  <c r="O6" i="2"/>
  <c r="O8" i="2"/>
  <c r="O9" i="2"/>
  <c r="O10" i="2"/>
  <c r="P5" i="2"/>
  <c r="P6" i="2"/>
  <c r="P7" i="2"/>
  <c r="N14" i="2"/>
  <c r="N13" i="2"/>
  <c r="N11" i="2"/>
  <c r="Q11" i="2" s="1"/>
  <c r="N10" i="2"/>
  <c r="R15" i="3"/>
  <c r="S13" i="2"/>
  <c r="O13" i="3" l="1"/>
  <c r="Q18" i="2"/>
  <c r="O20" i="3" s="1"/>
  <c r="O22" i="3"/>
  <c r="O21" i="3"/>
  <c r="S8" i="2"/>
  <c r="S9" i="2"/>
  <c r="S5" i="2"/>
  <c r="Q10" i="2"/>
  <c r="O12" i="3" s="1"/>
  <c r="S10" i="2"/>
  <c r="S11" i="2"/>
  <c r="S6" i="2"/>
  <c r="S12" i="2"/>
  <c r="Q12" i="2"/>
  <c r="Q14" i="2"/>
  <c r="S14" i="2"/>
  <c r="S7" i="2"/>
  <c r="T22" i="3"/>
  <c r="T21" i="3"/>
  <c r="T15" i="3"/>
  <c r="U30" i="3"/>
  <c r="K9" i="4"/>
  <c r="U29" i="3" s="1"/>
  <c r="P26" i="3" s="1"/>
  <c r="R10" i="2" l="1"/>
  <c r="R18" i="2"/>
  <c r="T20" i="3"/>
  <c r="T16" i="3"/>
  <c r="O16" i="3"/>
  <c r="T14" i="3"/>
  <c r="O14" i="3"/>
  <c r="P31" i="3"/>
  <c r="F33" i="3"/>
  <c r="E31" i="3"/>
  <c r="D29" i="3"/>
  <c r="C27" i="3"/>
  <c r="L44" i="3" l="1"/>
  <c r="L41" i="3"/>
  <c r="D42" i="3"/>
  <c r="N44" i="3" s="1"/>
  <c r="J40" i="3"/>
  <c r="K5" i="1"/>
  <c r="J39" i="3" s="1"/>
  <c r="N41" i="3" l="1"/>
  <c r="H9" i="4"/>
  <c r="F26" i="4" l="1"/>
  <c r="F25" i="4"/>
  <c r="F24" i="4"/>
  <c r="F23" i="4"/>
  <c r="F22" i="4"/>
  <c r="F21" i="4"/>
  <c r="F20" i="4"/>
  <c r="F19" i="4"/>
  <c r="F18" i="4"/>
  <c r="F16" i="4"/>
  <c r="F15" i="4"/>
  <c r="G26" i="4"/>
  <c r="G25" i="4"/>
  <c r="G24" i="4"/>
  <c r="G23" i="4"/>
  <c r="G22" i="4"/>
  <c r="G21" i="4"/>
  <c r="G20" i="4"/>
  <c r="G19" i="4"/>
  <c r="G18" i="4"/>
  <c r="G16" i="4"/>
  <c r="G15" i="4"/>
  <c r="I26" i="4"/>
  <c r="I25" i="4"/>
  <c r="I24" i="4"/>
  <c r="I23" i="4"/>
  <c r="I22" i="4"/>
  <c r="I21" i="4"/>
  <c r="I20" i="4"/>
  <c r="I19" i="4"/>
  <c r="I18" i="4"/>
  <c r="I17" i="4"/>
  <c r="I16" i="4"/>
  <c r="I15" i="4"/>
  <c r="H26" i="4"/>
  <c r="H25" i="4"/>
  <c r="H24" i="4"/>
  <c r="H22" i="4"/>
  <c r="H23" i="4"/>
  <c r="H21" i="4"/>
  <c r="H20" i="4"/>
  <c r="H18" i="4"/>
  <c r="H17" i="4"/>
  <c r="H16" i="4"/>
  <c r="H15" i="4"/>
  <c r="H19" i="4"/>
  <c r="G9" i="4"/>
  <c r="I5" i="8"/>
  <c r="I6" i="8"/>
  <c r="I7" i="8"/>
  <c r="I8" i="8"/>
  <c r="I9" i="8"/>
  <c r="K5" i="8"/>
  <c r="H5" i="4" s="1"/>
  <c r="K6" i="8"/>
  <c r="H6" i="4" s="1"/>
  <c r="K7" i="8"/>
  <c r="H7" i="4" s="1"/>
  <c r="K8" i="8"/>
  <c r="H8" i="4" s="1"/>
  <c r="K9" i="8"/>
  <c r="J8" i="8" l="1"/>
  <c r="G8" i="4" s="1"/>
  <c r="J6" i="8"/>
  <c r="G6" i="4" s="1"/>
  <c r="J7" i="8"/>
  <c r="G7" i="4" s="1"/>
  <c r="J5" i="8"/>
  <c r="G5" i="4" s="1"/>
  <c r="J9" i="8"/>
  <c r="L33" i="3"/>
  <c r="K31" i="3"/>
  <c r="J29" i="3"/>
  <c r="I27" i="3"/>
  <c r="K5" i="4" l="1"/>
  <c r="P27" i="3" s="1"/>
  <c r="Q5" i="16" s="1"/>
  <c r="R13" i="9"/>
  <c r="U9" i="9"/>
  <c r="U8" i="9"/>
  <c r="U7" i="9"/>
  <c r="U6" i="9"/>
  <c r="H14" i="4" s="1"/>
  <c r="U5" i="9"/>
  <c r="H13" i="4" s="1"/>
  <c r="R9" i="9"/>
  <c r="F17" i="4" s="1"/>
  <c r="R8" i="9"/>
  <c r="R7" i="9"/>
  <c r="R6" i="9"/>
  <c r="F14" i="4" s="1"/>
  <c r="R5" i="9"/>
  <c r="F13" i="4" s="1"/>
  <c r="T7" i="9" l="1"/>
  <c r="L38" i="9" l="1"/>
  <c r="J38" i="9"/>
  <c r="L40" i="9"/>
  <c r="L39" i="9"/>
  <c r="V34" i="9"/>
  <c r="V33" i="9"/>
  <c r="V32" i="9"/>
  <c r="T34" i="9"/>
  <c r="T33" i="9"/>
  <c r="T32" i="9"/>
  <c r="R34" i="9"/>
  <c r="R33" i="9"/>
  <c r="R32" i="9"/>
  <c r="Q34" i="9"/>
  <c r="Q33" i="9"/>
  <c r="Q32" i="9"/>
  <c r="V13" i="9"/>
  <c r="T9" i="9"/>
  <c r="T8" i="9"/>
  <c r="V8" i="9" s="1"/>
  <c r="V7" i="9"/>
  <c r="T6" i="9"/>
  <c r="V6" i="9" s="1"/>
  <c r="I14" i="4" s="1"/>
  <c r="T5" i="9"/>
  <c r="V5" i="9" s="1"/>
  <c r="I13" i="4" s="1"/>
  <c r="R15" i="9"/>
  <c r="R14" i="9"/>
  <c r="V9" i="9" l="1"/>
  <c r="K38" i="9"/>
  <c r="N5" i="1"/>
  <c r="S7" i="3" s="1"/>
  <c r="S16" i="3" l="1"/>
  <c r="Q9" i="9" l="1"/>
  <c r="Q8" i="9"/>
  <c r="S8" i="9" s="1"/>
  <c r="Q7" i="9"/>
  <c r="S7" i="9" s="1"/>
  <c r="Q6" i="9"/>
  <c r="S6" i="9" s="1"/>
  <c r="G14" i="4" s="1"/>
  <c r="Q5" i="9"/>
  <c r="S5" i="9" s="1"/>
  <c r="G13" i="4" s="1"/>
  <c r="J40" i="9" l="1"/>
  <c r="J39" i="9"/>
  <c r="B5" i="4"/>
  <c r="B7" i="4"/>
  <c r="B6" i="4"/>
  <c r="K40" i="9" l="1"/>
  <c r="K39" i="9"/>
  <c r="Q17" i="2"/>
  <c r="T19" i="3" s="1"/>
  <c r="O12" i="1"/>
  <c r="S11" i="3" s="1"/>
  <c r="S10" i="3"/>
  <c r="N12" i="1"/>
  <c r="R11" i="3" s="1"/>
  <c r="N11" i="1"/>
  <c r="R10" i="3" s="1"/>
  <c r="N7" i="1"/>
  <c r="S9" i="3" s="1"/>
  <c r="N6" i="1"/>
  <c r="S8" i="3" s="1"/>
  <c r="M7" i="1"/>
  <c r="R9" i="3" s="1"/>
  <c r="M6" i="1"/>
  <c r="R8" i="3" s="1"/>
  <c r="M5" i="1"/>
  <c r="R7" i="3" s="1"/>
  <c r="N16" i="2"/>
  <c r="N15" i="2"/>
  <c r="N9" i="2"/>
  <c r="Q9" i="2" s="1"/>
  <c r="O11" i="3" s="1"/>
  <c r="N8" i="2"/>
  <c r="Q7" i="2"/>
  <c r="O9" i="3" s="1"/>
  <c r="Q6" i="2"/>
  <c r="N5" i="2"/>
  <c r="Q5" i="2" s="1"/>
  <c r="O7" i="3" s="1"/>
  <c r="Q8" i="2" l="1"/>
  <c r="R8" i="2" s="1"/>
  <c r="R5" i="2"/>
  <c r="N39" i="3" s="1"/>
  <c r="O10" i="3"/>
  <c r="R17" i="2"/>
  <c r="N43" i="3" s="1"/>
  <c r="O19" i="3"/>
  <c r="O8" i="3"/>
  <c r="S15" i="2"/>
  <c r="Q15" i="2"/>
  <c r="S16" i="2"/>
  <c r="Q16" i="2"/>
  <c r="Y38" i="9"/>
  <c r="N40" i="3" l="1"/>
  <c r="L40" i="3"/>
  <c r="O17" i="3"/>
  <c r="R15" i="2"/>
  <c r="N42" i="3" s="1"/>
  <c r="L43" i="3"/>
  <c r="T18" i="3"/>
  <c r="O18" i="3"/>
  <c r="L39" i="3"/>
  <c r="R20" i="2"/>
  <c r="N45" i="3" s="1"/>
  <c r="X38" i="9"/>
  <c r="AB32" i="9"/>
  <c r="U32" i="9"/>
  <c r="T13" i="9"/>
  <c r="V15" i="9"/>
  <c r="O13" i="4"/>
  <c r="P30" i="3" s="1"/>
  <c r="Q8" i="16" s="1"/>
  <c r="V14" i="9"/>
  <c r="T14" i="9"/>
  <c r="T15" i="9"/>
  <c r="L45" i="3" l="1"/>
  <c r="L42" i="3"/>
  <c r="S9" i="9"/>
  <c r="G17" i="4" s="1"/>
  <c r="AB13" i="9"/>
  <c r="V27" i="9" s="1"/>
  <c r="AB5" i="9"/>
  <c r="V23" i="9" s="1"/>
  <c r="U13" i="9"/>
  <c r="U15" i="9"/>
  <c r="U34" i="9"/>
  <c r="U33" i="9"/>
  <c r="U14" i="9"/>
  <c r="AA32" i="9" l="1"/>
  <c r="N13" i="4"/>
  <c r="P29" i="3" s="1"/>
  <c r="Q7" i="16" s="1"/>
  <c r="AA5" i="9"/>
  <c r="AA13" i="9"/>
  <c r="U27" i="9" s="1"/>
  <c r="U23" i="9" l="1"/>
  <c r="X13" i="9"/>
  <c r="Q13" i="9"/>
  <c r="S13" i="9" s="1"/>
  <c r="Q15" i="9"/>
  <c r="S15" i="9" s="1"/>
  <c r="Q14" i="9"/>
  <c r="S14" i="9" s="1"/>
  <c r="X5" i="9" l="1"/>
  <c r="Y13" i="9"/>
  <c r="K13" i="4" l="1"/>
  <c r="S32" i="9"/>
  <c r="X32" i="9"/>
  <c r="U19" i="9" s="1"/>
  <c r="Y5" i="9"/>
  <c r="S34" i="9"/>
  <c r="S33" i="9"/>
  <c r="Y32" i="9" l="1"/>
  <c r="V19" i="9" s="1"/>
  <c r="C13" i="8" l="1"/>
  <c r="D13" i="8"/>
  <c r="L5" i="4"/>
  <c r="P28" i="3" s="1"/>
  <c r="Q6" i="16" s="1"/>
  <c r="L13" i="4"/>
  <c r="T13" i="3"/>
  <c r="T11" i="3"/>
  <c r="T10" i="3"/>
  <c r="T9" i="3"/>
  <c r="T8" i="3"/>
  <c r="T17" i="3" l="1"/>
  <c r="T12" i="3"/>
  <c r="T7" i="3"/>
</calcChain>
</file>

<file path=xl/sharedStrings.xml><?xml version="1.0" encoding="utf-8"?>
<sst xmlns="http://schemas.openxmlformats.org/spreadsheetml/2006/main" count="649" uniqueCount="354">
  <si>
    <t xml:space="preserve"> Configuration Name</t>
  </si>
  <si>
    <t>Telescoping Front Plow Truck(s) Configuration Data Worksheet</t>
  </si>
  <si>
    <t>Wing Plow Truck(s) Configuration Data Worksheet</t>
  </si>
  <si>
    <t>Tow Plow Rig(s) Configuration Data Worksheet</t>
  </si>
  <si>
    <t>Standard Plow Truck(s) Configuration Data Worksheet</t>
  </si>
  <si>
    <t>Plow Configuration Procurement  Costs and Clearing Widths</t>
  </si>
  <si>
    <t>Average Seasonal Plow Operating Costs</t>
  </si>
  <si>
    <t xml:space="preserve">Wing Plow Truck  </t>
  </si>
  <si>
    <t xml:space="preserve">Standard Plow Truck  </t>
  </si>
  <si>
    <t>Plow Operating Costs</t>
  </si>
  <si>
    <t>Average Daily Plow Operational Operating Costs</t>
  </si>
  <si>
    <t xml:space="preserve">  Number of
Lanes (#)</t>
  </si>
  <si>
    <t>Lane Width
(ft)</t>
  </si>
  <si>
    <t>Left Shoulder Clearing Width
(ft)</t>
  </si>
  <si>
    <t>Right Shoulder Clearing Width
(ft)</t>
  </si>
  <si>
    <t>Number of
Lanes Cleared
to the Left (#)</t>
  </si>
  <si>
    <t>Defined Segment Type
(Name)</t>
  </si>
  <si>
    <t>Number Through Lanes Cleared Left</t>
  </si>
  <si>
    <t>Plow Allocation</t>
  </si>
  <si>
    <t>Plow Equipment Costs</t>
  </si>
  <si>
    <t>Define Library of Route Segments</t>
  </si>
  <si>
    <t>Define Route Geometric Nodes</t>
  </si>
  <si>
    <t>R</t>
  </si>
  <si>
    <t xml:space="preserve">Telescoping Plow Truck  </t>
  </si>
  <si>
    <t xml:space="preserve"> Clear Direction
 (L) left, (R) right
 or (B) bi-direction
</t>
  </si>
  <si>
    <t xml:space="preserve"> TP Clear Direction
 (L) left, (R) right
 or (B) bi-direction</t>
  </si>
  <si>
    <t>L</t>
  </si>
  <si>
    <t xml:space="preserve">Single-Direction Tow Plow   </t>
  </si>
  <si>
    <t xml:space="preserve">Dual-Direction Tow Plow  </t>
  </si>
  <si>
    <t>Through Lane(s) Width (ft)</t>
  </si>
  <si>
    <t>B</t>
  </si>
  <si>
    <t>Define Roadway Segments</t>
  </si>
  <si>
    <t>Projected Time to Plow Route (Hrs)</t>
  </si>
  <si>
    <t>Segment Totals</t>
  </si>
  <si>
    <t>Total Lane Width</t>
  </si>
  <si>
    <t xml:space="preserve"> Max Clearing Width to the Right</t>
  </si>
  <si>
    <t xml:space="preserve"> Max Clearing Width to the Left</t>
  </si>
  <si>
    <t>Yearly Equipment
Cost</t>
  </si>
  <si>
    <t>Back-up Node Name
(Name)</t>
  </si>
  <si>
    <t xml:space="preserve"> Number of
Ending Lanes</t>
  </si>
  <si>
    <t>Back-up Node Totals</t>
  </si>
  <si>
    <t xml:space="preserve"> Number of
Through
Lanes</t>
  </si>
  <si>
    <t>Right Through
 Shoulder Clear Width (ft)</t>
  </si>
  <si>
    <t>Left Through
 Shoulder Clear
Width (ft)</t>
  </si>
  <si>
    <t>Feeder Node Totals</t>
  </si>
  <si>
    <t>Through
 Lane Width (ft)</t>
  </si>
  <si>
    <t>Fork Node Totals</t>
  </si>
  <si>
    <t>Roundabout Node Totals</t>
  </si>
  <si>
    <t>Number of
Roundabout
Lanes</t>
  </si>
  <si>
    <t>Width of
Roundabout
Lanes (ft)</t>
  </si>
  <si>
    <t>Windrow Mitigation Width (ft)</t>
  </si>
  <si>
    <t>Roundabout Left Clear Width</t>
  </si>
  <si>
    <t>Roundabout Right
Clear Width</t>
  </si>
  <si>
    <t>Left Roundabout Shoulder Clear Width (ft)</t>
  </si>
  <si>
    <t>Right Roundabout Shoulder Clear Width (ft)</t>
  </si>
  <si>
    <t>Roundabout Left Clear Lanes</t>
  </si>
  <si>
    <t>Max
Roundabout
Clear Width</t>
  </si>
  <si>
    <t>Plow Type</t>
  </si>
  <si>
    <t>Tow Plow w/Wing Plow</t>
  </si>
  <si>
    <t>Average Plow Type Total Daily Cost</t>
  </si>
  <si>
    <t>Tele. Front Plow Config. Totals</t>
  </si>
  <si>
    <t>Std. Plow Truck(s) Totals</t>
  </si>
  <si>
    <t>Wing Plow Config. Totals</t>
  </si>
  <si>
    <t>Tow Plow Config. Totals</t>
  </si>
  <si>
    <t>Through
Max R</t>
  </si>
  <si>
    <t>Through
Max L</t>
  </si>
  <si>
    <t>Diverge
Max R</t>
  </si>
  <si>
    <t>Diverge
Max L</t>
  </si>
  <si>
    <t>Divert
Max R</t>
  </si>
  <si>
    <t>Divert
Max L</t>
  </si>
  <si>
    <t>Exiting
Max R</t>
  </si>
  <si>
    <t>Exiting
Max L</t>
  </si>
  <si>
    <t>Back-up
Max R</t>
  </si>
  <si>
    <t>Back-up
Max L</t>
  </si>
  <si>
    <t>Roundabout
Max Width
Clear  Right</t>
  </si>
  <si>
    <t>Roundabout
Max Width
Clear  Left</t>
  </si>
  <si>
    <t>Min Diverge Clear Widths</t>
  </si>
  <si>
    <t>Min Split Widths</t>
  </si>
  <si>
    <t>Minimum Feeder Node Plow Widths</t>
  </si>
  <si>
    <t>Minimum Back-up Node Plow Widths</t>
  </si>
  <si>
    <t>Min RB Node Clear Width</t>
  </si>
  <si>
    <t>Min Clear
Width Right</t>
  </si>
  <si>
    <t>Min Clear
Width Left</t>
  </si>
  <si>
    <t>Minimum Segment
Clearing Widths</t>
  </si>
  <si>
    <t>Node Totals</t>
  </si>
  <si>
    <t>Diverge
Min Clear
Width Right</t>
  </si>
  <si>
    <t>Diverge
Min Clear
Width Left</t>
  </si>
  <si>
    <t>Geometric Node Library</t>
  </si>
  <si>
    <t xml:space="preserve"> Number of
Beginning Lanes</t>
  </si>
  <si>
    <t>OC Ramp Std.</t>
  </si>
  <si>
    <t>Narrow Hwy Exit</t>
  </si>
  <si>
    <t>Narrow UC 1x1</t>
  </si>
  <si>
    <t>Rest Stop Merge</t>
  </si>
  <si>
    <t>Library of Back-up Nodes</t>
  </si>
  <si>
    <t>Library of Fork Nodes</t>
  </si>
  <si>
    <t>Library of Feeder Nodes</t>
  </si>
  <si>
    <t>Library of Roundabout Nodes</t>
  </si>
  <si>
    <t>2x2 RB Left Clear</t>
  </si>
  <si>
    <t>3x2 BU R-L Clear</t>
  </si>
  <si>
    <t>2x2 BU R Clear</t>
  </si>
  <si>
    <t>Min Diverge
Clear Width
to Right</t>
  </si>
  <si>
    <t>Min Diverge
Clear Width
to Left</t>
  </si>
  <si>
    <t>Width of
Diverge Lanes
(ft)</t>
  </si>
  <si>
    <t>Left Diverge Shoulder Clear Width (ft)</t>
  </si>
  <si>
    <t>Number Diverge Lanes Cleared Left</t>
  </si>
  <si>
    <t>Right Diverge Shoulder Clear Width (ft)</t>
  </si>
  <si>
    <t>Min Through
Clear Width
to Right</t>
  </si>
  <si>
    <t>Min Through
Clear Width
to Left</t>
  </si>
  <si>
    <t>Min Total
Through Lanes
Clear Width</t>
  </si>
  <si>
    <t>Min Total
Diverge Lanes
Clear Width</t>
  </si>
  <si>
    <t>Number of
Diverge Lanes</t>
  </si>
  <si>
    <t>Width of
Diverge Lanes (ft)</t>
  </si>
  <si>
    <t>Left Diverge
Shoulder Clear Width (ft)</t>
  </si>
  <si>
    <t>Min Left
Clear Width</t>
  </si>
  <si>
    <t>Min Right
Clear Width</t>
  </si>
  <si>
    <t xml:space="preserve"> Clear Direction
 (L) left, (R) right</t>
  </si>
  <si>
    <t xml:space="preserve"> TP Clear Direction
 (L) left or (R) right</t>
  </si>
  <si>
    <t>Qty</t>
  </si>
  <si>
    <t>Right Clear Max</t>
  </si>
  <si>
    <t>Left Clear Max</t>
  </si>
  <si>
    <t>Direction</t>
  </si>
  <si>
    <t>Right</t>
  </si>
  <si>
    <t>Left</t>
  </si>
  <si>
    <t>Through Lanes
Min Clear
Width Right</t>
  </si>
  <si>
    <t>Through Lanes
Min Clear
Width Left</t>
  </si>
  <si>
    <t>Define Route Segments</t>
  </si>
  <si>
    <t>Min Through Lane
Clear Widths</t>
  </si>
  <si>
    <t>Min Diverge Lanes
Clear Widths</t>
  </si>
  <si>
    <t>Min Required Through - Right Clearing Width</t>
  </si>
  <si>
    <t>Min Required Diverge - Right Clearing Width</t>
  </si>
  <si>
    <t>Min Required Diverge - Left Clearing Width</t>
  </si>
  <si>
    <t>Through Lanes Width (ft)</t>
  </si>
  <si>
    <t>Min Through Widths</t>
  </si>
  <si>
    <t>Through Lanes - Clear Right</t>
  </si>
  <si>
    <t>Through Lanes - Clear Left</t>
  </si>
  <si>
    <t>Diverge Lanes - Clear Right</t>
  </si>
  <si>
    <t>Diverge Lanes - Clear Left</t>
  </si>
  <si>
    <t>Most Efficient Plow Deployment Configuration</t>
  </si>
  <si>
    <t>Plow Route Statistics</t>
  </si>
  <si>
    <t>Plow Route Definition</t>
  </si>
  <si>
    <t>Plowing Inputs</t>
  </si>
  <si>
    <t>[12ft Plow - 10ft Wing - TP]</t>
  </si>
  <si>
    <t>Plow Type (Generic)</t>
  </si>
  <si>
    <t>Head/Underbody Plow Truck</t>
  </si>
  <si>
    <t>Wing Plow Truck</t>
  </si>
  <si>
    <t>Telescoping Plow Truck</t>
  </si>
  <si>
    <t>Plow Truck with Tow Plow</t>
  </si>
  <si>
    <t>Plow Truck with Bi-directional Tow Plow</t>
  </si>
  <si>
    <t>Wing Plow Truck with Tow Plow</t>
  </si>
  <si>
    <t>Average
Service Life</t>
  </si>
  <si>
    <t>Average Life
Cycle Cost</t>
  </si>
  <si>
    <t>Average
Life Cost</t>
  </si>
  <si>
    <t xml:space="preserve"> Salvage Value</t>
  </si>
  <si>
    <t xml:space="preserve"> Max Clearing
   Width</t>
  </si>
  <si>
    <t>Head/Underbody
   Plow Cost</t>
  </si>
  <si>
    <t xml:space="preserve"> Std. Plow Truck
 Procure Cost</t>
  </si>
  <si>
    <t>Head/Underbody
   Plow cost</t>
  </si>
  <si>
    <t xml:space="preserve"> Telescoping
 Plow Truck
 Procure Cost</t>
  </si>
  <si>
    <t xml:space="preserve"> Expected Service
   Life</t>
  </si>
  <si>
    <t xml:space="preserve"> Wing Max
 Clearing
 Width</t>
  </si>
  <si>
    <t xml:space="preserve"> Wing Plow
    Cost</t>
  </si>
  <si>
    <t xml:space="preserve">  Plow Max
  Clearing
  Width</t>
  </si>
  <si>
    <t xml:space="preserve"> Wing Plow Truck
  Procure Cost</t>
  </si>
  <si>
    <t xml:space="preserve"> Tow Plow
    Cost</t>
  </si>
  <si>
    <t xml:space="preserve"> Tow plow
 Clearing
 Width</t>
  </si>
  <si>
    <t xml:space="preserve"> Plow Max
Clearing  Width</t>
  </si>
  <si>
    <t xml:space="preserve"> Tow Plow Truck
  Procure Cost</t>
  </si>
  <si>
    <t xml:space="preserve"> Combination Tow
Plow &amp; Wing Truck
  Procure Cost</t>
  </si>
  <si>
    <t xml:space="preserve"> Head Plow
Max Clearing
 Width</t>
  </si>
  <si>
    <t xml:space="preserve"> Tow Plow
  Cost</t>
  </si>
  <si>
    <t>Tow Plow Max
Clearing Width</t>
  </si>
  <si>
    <t xml:space="preserve">  Plow Truck
 Maint. &amp; Season
Configuration  Costs</t>
  </si>
  <si>
    <t>Head/Underbody
Plow Maint. &amp; Season Config. Costs</t>
  </si>
  <si>
    <t xml:space="preserve"> Wing Plow
  Maint. &amp; Season
Configuration  Costs</t>
  </si>
  <si>
    <t xml:space="preserve"> Tow Plow
  Maintenance &amp;
Consume Costs</t>
  </si>
  <si>
    <t xml:space="preserve"> Tow Plow
 Storage Cost</t>
  </si>
  <si>
    <t>Average Daily
Plow Fuel Costs</t>
  </si>
  <si>
    <t xml:space="preserve">  Average Daily
Plow  Driver Cost</t>
  </si>
  <si>
    <t>Tele Plow
Maint. &amp; Season
Config. Costs</t>
  </si>
  <si>
    <t xml:space="preserve"> Average Number of Days/Yr of Plow
Operation</t>
  </si>
  <si>
    <t>Enter a Common Plow Deployment Duration
for Life Cycle Analysis</t>
  </si>
  <si>
    <t>Seasons</t>
  </si>
  <si>
    <t>Days/Season</t>
  </si>
  <si>
    <t>Total</t>
  </si>
  <si>
    <t>Total Length
of Segment(s)</t>
  </si>
  <si>
    <t>Estimated Time Required to Clear Node</t>
  </si>
  <si>
    <t>Define Node Name</t>
  </si>
  <si>
    <t>Define Segment Name</t>
  </si>
  <si>
    <t>Combined Time to Clear Nodes</t>
  </si>
  <si>
    <t>Clear Roads 19-03 Plowing Efficiency Decision Support Tool</t>
  </si>
  <si>
    <t>Overall Length
of Route</t>
  </si>
  <si>
    <t>Route Distance Total</t>
  </si>
  <si>
    <t>Total Node Time</t>
  </si>
  <si>
    <t>Estimated Min Time to Clear Plow Route</t>
  </si>
  <si>
    <t>Wing Plow
Consumable
Cost</t>
  </si>
  <si>
    <t>Tele Plow
Consumable
Costs</t>
  </si>
  <si>
    <t>Head/Underbody Plow Consumable
 Costs</t>
  </si>
  <si>
    <t xml:space="preserve"> Wing Plow(s)
    Cost</t>
  </si>
  <si>
    <t>Combined
Wing Plow
Clearing Width</t>
  </si>
  <si>
    <t xml:space="preserve"> Wing Clear
Direction
 (L) left, (R) Right, or (LR) L&amp;R</t>
  </si>
  <si>
    <t>Combo Plow Config. Totals</t>
  </si>
  <si>
    <t>Daily Cost</t>
  </si>
  <si>
    <t>Multi-Directional Plowing Configuration Data Worksheet (Tow Plow Rig(s) with Wing Plow and/or Multiple Wings)</t>
  </si>
  <si>
    <t>Double Wing Plow</t>
  </si>
  <si>
    <t>Generic Plow Types</t>
  </si>
  <si>
    <t>Defined Plow Configurations</t>
  </si>
  <si>
    <t>-</t>
  </si>
  <si>
    <t>Double Wing Plow Truck</t>
  </si>
  <si>
    <t>Average Speed</t>
  </si>
  <si>
    <t>Estimated Plow Route Distance</t>
  </si>
  <si>
    <t>Slowest Plow Speed</t>
  </si>
  <si>
    <t>Aver. Total
Cost - Life</t>
  </si>
  <si>
    <t>Estimated Plow
Daily Operating Cost</t>
  </si>
  <si>
    <t>Estimated  Daily
Plow Type Maintenance Cost</t>
  </si>
  <si>
    <t>Estimated Daily
Plow Type Equipment Cost</t>
  </si>
  <si>
    <t>Average Daily Cost</t>
  </si>
  <si>
    <t>Min Required Through - Left Clearing Width</t>
  </si>
  <si>
    <t>Cost</t>
  </si>
  <si>
    <t>Width</t>
  </si>
  <si>
    <t>Plow combination</t>
  </si>
  <si>
    <t>Plow Life Cycle Comparison</t>
  </si>
  <si>
    <t>Combined Daily Operating Cost by Plow Type for LC Analysis</t>
  </si>
  <si>
    <t>Average Service Life</t>
  </si>
  <si>
    <t>Hwy 2-Lane Merge</t>
  </si>
  <si>
    <t>Hwy 3-Lane Merge</t>
  </si>
  <si>
    <t>Diverge L Speed</t>
  </si>
  <si>
    <t>Diverge R Speed</t>
  </si>
  <si>
    <t>Through R Speed</t>
  </si>
  <si>
    <t>Through L Speed</t>
  </si>
  <si>
    <t xml:space="preserve"> Average
Plowing Speed</t>
  </si>
  <si>
    <t>Daily Operate Cost</t>
  </si>
  <si>
    <t>Hidden Data</t>
  </si>
  <si>
    <t>Daily Op. Cost</t>
  </si>
  <si>
    <t>12ft Belly Plow</t>
  </si>
  <si>
    <t>12ft Revs-Bi-Di Tow Plow</t>
  </si>
  <si>
    <t>12ft Revs. - 8ft Dbl Wing - R</t>
  </si>
  <si>
    <t>12ft Revs. - 8ft Dbl Wing - L</t>
  </si>
  <si>
    <t>Tele Plow</t>
  </si>
  <si>
    <t>10 Revs. -8ft Wing</t>
  </si>
  <si>
    <t>3-Lane Standard</t>
  </si>
  <si>
    <t>2-Lane clear L&amp;R</t>
  </si>
  <si>
    <t>Common 2x1 Ramp</t>
  </si>
  <si>
    <t>2x2 Ramp</t>
  </si>
  <si>
    <t>2-Lane w/Truck lane</t>
  </si>
  <si>
    <t>12ft-RH w/Tow Plow</t>
  </si>
  <si>
    <t xml:space="preserve">10ft-Revs. Head Plow </t>
  </si>
  <si>
    <t>10ft Revs. - 8ft LH Wing</t>
  </si>
  <si>
    <t>12ft R. - 8ft RH Wing</t>
  </si>
  <si>
    <t xml:space="preserve">    Through Lanes Clear Right</t>
  </si>
  <si>
    <t xml:space="preserve">    Through Lanes Clear Left</t>
  </si>
  <si>
    <t xml:space="preserve">    Diverge Lanes Clear Right</t>
  </si>
  <si>
    <t xml:space="preserve">    Diverge Lanes Clear Left</t>
  </si>
  <si>
    <t xml:space="preserve">DST Result Deployment Plow Group Comparison </t>
  </si>
  <si>
    <t>2-Lane clear Left</t>
  </si>
  <si>
    <t xml:space="preserve"> </t>
  </si>
  <si>
    <t>Life Cycle
Check for blank</t>
  </si>
  <si>
    <t>Life Cycle
Check Sum</t>
  </si>
  <si>
    <t>Lowest speed (mph)</t>
  </si>
  <si>
    <t>10ft-Revs. Head Plow  + 12ft-RH w/Tow Plow</t>
  </si>
  <si>
    <t>10ft Revs. - 8ft LH Wing + 12ft-RH w/Tow Plow</t>
  </si>
  <si>
    <t>10ft-Revs. Head Plow  + 10ft-Revs. Head Plow  + 10ft Revs. - 8ft LH Wing</t>
  </si>
  <si>
    <t>10ft-Revs. Head Plow  + 10ft-Revs. Head Plow  + 12ft-RH w/Tow Plow</t>
  </si>
  <si>
    <t>10ft-Revs. Head Plow  + 10ft Revs. - 8ft LH Wing + 12ft-RH w/Tow Plow</t>
  </si>
  <si>
    <t>10ft-Revs. Head Plow  + 10ft-Revs. Head Plow  + 10ft Revs. - 8ft LH Wing + 12ft-RH w/Tow Plow</t>
  </si>
  <si>
    <t>12ft RH Head Plow</t>
  </si>
  <si>
    <t>12ft RH Head Plow + 12ft-RH w/Tow Plow</t>
  </si>
  <si>
    <t xml:space="preserve">12ft RH Head Plow + 10ft-Revs. Head Plow  + 10ft-Revs. Head Plow </t>
  </si>
  <si>
    <t xml:space="preserve">12ft RH Head Plow + 12ft RH Head Plow + 10ft-Revs. Head Plow </t>
  </si>
  <si>
    <t>12ft RH Head Plow + 12ft RH Head Plow + 12ft RH Head Plow</t>
  </si>
  <si>
    <t>12ft RH Head Plow + 10ft-Revs. Head Plow  + 10ft Revs. - 8ft LH Wing</t>
  </si>
  <si>
    <t>12ft RH Head Plow + 12ft RH Head Plow + 10ft Revs. - 8ft LH Wing</t>
  </si>
  <si>
    <t>10ft-Revs. Head Plow  + 10ft Revs. - 8ft LH Wing + 10ft Revs. - 8ft LH Wing</t>
  </si>
  <si>
    <t>12ft RH Head Plow + 10ft Revs. - 8ft LH Wing + 10ft Revs. - 8ft LH Wing</t>
  </si>
  <si>
    <t>12ft RH Head Plow + 10ft-Revs. Head Plow  + 12ft-RH w/Tow Plow</t>
  </si>
  <si>
    <t>12ft RH Head Plow + 12ft RH Head Plow + 12ft-RH w/Tow Plow</t>
  </si>
  <si>
    <t xml:space="preserve">12ft RH Head Plow + 12ft RH Head Plow + 10ft-Revs. Head Plow  + 10ft-Revs. Head Plow </t>
  </si>
  <si>
    <t xml:space="preserve">12ft RH Head Plow + 12ft RH Head Plow + 12ft RH Head Plow + 10ft-Revs. Head Plow </t>
  </si>
  <si>
    <t>12ft RH Head Plow + 10ft Revs. - 8ft LH Wing + 12ft-RH w/Tow Plow</t>
  </si>
  <si>
    <t>12ft RH Head Plow + 10ft-Revs. Head Plow  + 10ft-Revs. Head Plow  + 10ft Revs. - 8ft LH Wing</t>
  </si>
  <si>
    <t>12ft RH Head Plow + 12ft RH Head Plow + 10ft-Revs. Head Plow  + 10ft Revs. - 8ft LH Wing</t>
  </si>
  <si>
    <t>12ft RH Head Plow + 12ft RH Head Plow + 12ft RH Head Plow + 10ft Revs. - 8ft LH Wing</t>
  </si>
  <si>
    <t>10ft Revs. - 8ft LH Wing + 10ft Revs. - 8ft LH Wing + 12ft-RH w/Tow Plow</t>
  </si>
  <si>
    <t>10ft-Revs. Head Plow  + 10ft-Revs. Head Plow  + 10ft Revs. - 8ft LH Wing + 10ft Revs. - 8ft LH Wing</t>
  </si>
  <si>
    <t>12ft RH Head Plow + 10ft-Revs. Head Plow  + 10ft Revs. - 8ft LH Wing + 10ft Revs. - 8ft LH Wing</t>
  </si>
  <si>
    <t>12ft RH Head Plow + 12ft RH Head Plow + 10ft Revs. - 8ft LH Wing + 10ft Revs. - 8ft LH Wing</t>
  </si>
  <si>
    <t>12ft RH Head Plow + 10ft-Revs. Head Plow  + 10ft-Revs. Head Plow  + 12ft-RH w/Tow Plow</t>
  </si>
  <si>
    <t>12ft RH Head Plow + 12ft RH Head Plow + 10ft-Revs. Head Plow  + 12ft-RH w/Tow Plow</t>
  </si>
  <si>
    <t>12ft RH Head Plow + 12ft RH Head Plow + 12ft RH Head Plow + 12ft-RH w/Tow Plow</t>
  </si>
  <si>
    <t xml:space="preserve">12ft RH Head Plow + 12ft RH Head Plow + 12ft RH Head Plow + 10ft-Revs. Head Plow  + 10ft-Revs. Head Plow </t>
  </si>
  <si>
    <t>12ft RH Head Plow + 10ft-Revs. Head Plow  + 10ft Revs. - 8ft LH Wing + 12ft-RH w/Tow Plow</t>
  </si>
  <si>
    <t>12ft RH Head Plow + 12ft RH Head Plow + 10ft Revs. - 8ft LH Wing + 12ft-RH w/Tow Plow</t>
  </si>
  <si>
    <t>12ft RH Head Plow + 12ft RH Head Plow + 10ft-Revs. Head Plow  + 10ft-Revs. Head Plow  + 10ft Revs. - 8ft LH Wing</t>
  </si>
  <si>
    <t>12ft RH Head Plow + 12ft RH Head Plow + 12ft RH Head Plow + 10ft-Revs. Head Plow  + 10ft Revs. - 8ft LH Wing</t>
  </si>
  <si>
    <t>10ft-Revs. Head Plow  + 10ft Revs. - 8ft LH Wing + 10ft Revs. - 8ft LH Wing + 12ft-RH w/Tow Plow</t>
  </si>
  <si>
    <t>12ft RH Head Plow + 10ft Revs. - 8ft LH Wing + 10ft Revs. - 8ft LH Wing + 12ft-RH w/Tow Plow</t>
  </si>
  <si>
    <t>12ft RH Head Plow + 10ft-Revs. Head Plow  + 10ft-Revs. Head Plow  + 10ft Revs. - 8ft LH Wing + 10ft Revs. - 8ft LH Wing</t>
  </si>
  <si>
    <t>12ft RH Head Plow + 12ft RH Head Plow + 10ft-Revs. Head Plow  + 10ft Revs. - 8ft LH Wing + 10ft Revs. - 8ft LH Wing</t>
  </si>
  <si>
    <t>12ft RH Head Plow + 12ft RH Head Plow + 12ft RH Head Plow + 10ft Revs. - 8ft LH Wing + 10ft Revs. - 8ft LH Wing</t>
  </si>
  <si>
    <t>12ft RH Head Plow + 12ft RH Head Plow + 10ft-Revs. Head Plow  + 10ft-Revs. Head Plow  + 12ft-RH w/Tow Plow</t>
  </si>
  <si>
    <t>12ft RH Head Plow + 12ft RH Head Plow + 12ft RH Head Plow + 10ft-Revs. Head Plow  + 12ft-RH w/Tow Plow</t>
  </si>
  <si>
    <t>12ft RH Head Plow + 10ft-Revs. Head Plow  + 10ft-Revs. Head Plow  + 10ft Revs. - 8ft LH Wing + 12ft-RH w/Tow Plow</t>
  </si>
  <si>
    <t>12ft RH Head Plow + 12ft RH Head Plow + 10ft-Revs. Head Plow  + 10ft Revs. - 8ft LH Wing + 12ft-RH w/Tow Plow</t>
  </si>
  <si>
    <t>12ft RH Head Plow + 12ft RH Head Plow + 12ft RH Head Plow + 10ft Revs. - 8ft LH Wing + 12ft-RH w/Tow Plow</t>
  </si>
  <si>
    <t>12ft RH Head Plow + 12ft RH Head Plow + 12ft RH Head Plow + 10ft-Revs. Head Plow  + 10ft-Revs. Head Plow  + 10ft Revs. - 8ft LH Wing</t>
  </si>
  <si>
    <t>10ft-Revs. Head Plow  + 10ft-Revs. Head Plow  + 10ft Revs. - 8ft LH Wing + 10ft Revs. - 8ft LH Wing + 12ft-RH w/Tow Plow</t>
  </si>
  <si>
    <t>12ft RH Head Plow + 10ft-Revs. Head Plow  + 10ft Revs. - 8ft LH Wing + 10ft Revs. - 8ft LH Wing + 12ft-RH w/Tow Plow</t>
  </si>
  <si>
    <t>12ft RH Head Plow + 12ft RH Head Plow + 10ft Revs. - 8ft LH Wing + 10ft Revs. - 8ft LH Wing + 12ft-RH w/Tow Plow</t>
  </si>
  <si>
    <t>12ft RH Head Plow + 12ft RH Head Plow + 10ft-Revs. Head Plow  + 10ft-Revs. Head Plow  + 10ft Revs. - 8ft LH Wing + 10ft Revs. - 8ft LH Wing</t>
  </si>
  <si>
    <t>12ft RH Head Plow + 12ft RH Head Plow + 12ft RH Head Plow + 10ft-Revs. Head Plow  + 10ft Revs. - 8ft LH Wing + 10ft Revs. - 8ft LH Wing</t>
  </si>
  <si>
    <t>12ft RH Head Plow + 12ft RH Head Plow + 12ft RH Head Plow + 10ft-Revs. Head Plow  + 10ft-Revs. Head Plow  + 12ft-RH w/Tow Plow</t>
  </si>
  <si>
    <t>12ft RH Head Plow + 12ft RH Head Plow + 10ft-Revs. Head Plow  + 10ft-Revs. Head Plow  + 10ft Revs. - 8ft LH Wing + 12ft-RH w/Tow Plow</t>
  </si>
  <si>
    <t>12ft RH Head Plow + 12ft RH Head Plow + 12ft RH Head Plow + 10ft-Revs. Head Plow  + 10ft Revs. - 8ft LH Wing + 12ft-RH w/Tow Plow</t>
  </si>
  <si>
    <t>12ft RH Head Plow + 10ft-Revs. Head Plow  + 10ft-Revs. Head Plow  + 10ft Revs. - 8ft LH Wing + 10ft Revs. - 8ft LH Wing + 12ft-RH w/Tow Plow</t>
  </si>
  <si>
    <t>12ft RH Head Plow + 12ft RH Head Plow + 10ft-Revs. Head Plow  + 10ft Revs. - 8ft LH Wing + 10ft Revs. - 8ft LH Wing + 12ft-RH w/Tow Plow</t>
  </si>
  <si>
    <t>12ft RH Head Plow + 12ft RH Head Plow + 12ft RH Head Plow + 10ft Revs. - 8ft LH Wing + 10ft Revs. - 8ft LH Wing + 12ft-RH w/Tow Plow</t>
  </si>
  <si>
    <t>12ft RH Head Plow + 12ft RH Head Plow + 12ft RH Head Plow + 10ft-Revs. Head Plow  + 10ft-Revs. Head Plow  + 10ft Revs. - 8ft LH Wing + 10ft Revs. - 8ft LH Wing</t>
  </si>
  <si>
    <t>12ft RH Head Plow + 12ft RH Head Plow + 12ft RH Head Plow + 10ft-Revs. Head Plow  + 10ft-Revs. Head Plow  + 10ft Revs. - 8ft LH Wing + 12ft-RH w/Tow Plow</t>
  </si>
  <si>
    <t>12ft RH Head Plow + 12ft RH Head Plow + 10ft-Revs. Head Plow  + 10ft-Revs. Head Plow  + 10ft Revs. - 8ft LH Wing + 10ft Revs. - 8ft LH Wing + 12ft-RH w/Tow Plow</t>
  </si>
  <si>
    <t>12ft RH Head Plow + 12ft RH Head Plow + 12ft RH Head Plow + 10ft-Revs. Head Plow  + 10ft Revs. - 8ft LH Wing + 10ft Revs. - 8ft LH Wing + 12ft-RH w/Tow Plow</t>
  </si>
  <si>
    <t>12ft RH Head Plow + 12ft RH Head Plow + 12ft RH Head Plow + 10ft-Revs. Head Plow  + 10ft-Revs. Head Plow  + 10ft Revs. - 8ft LH Wing + 10ft Revs. - 8ft LH Wing + 12ft-RH w/Tow Plow</t>
  </si>
  <si>
    <t>2-Lane</t>
  </si>
  <si>
    <t xml:space="preserve">10ft-Revs. Head Plow  + 10ft-Revs. Head Plow </t>
  </si>
  <si>
    <t>10ft-Revs. Head Plow  + 10ft Revs. - 8ft LH Wing</t>
  </si>
  <si>
    <t>10ft Revs. - 8ft LH Wing + 10ft Revs. - 8ft LH Wing</t>
  </si>
  <si>
    <t xml:space="preserve">12ft RH Head Plow + 10ft-Revs. Head Plow </t>
  </si>
  <si>
    <t>12ft RH Head Plow + 12ft RH Head Plow</t>
  </si>
  <si>
    <t>12ft RH Head Plow + 10ft Revs. - 8ft LH Wing</t>
  </si>
  <si>
    <t>Updated</t>
  </si>
  <si>
    <t xml:space="preserve">10ft-Revs. Head Plow  + 10ft-Revs. Head Plow  + 10ft-Revs. Head Plow </t>
  </si>
  <si>
    <t xml:space="preserve">12ft RH Head Plow + 10ft-Revs. Head Plow  + 10ft-Revs. Head Plow  + 10ft-Revs. Head Plow </t>
  </si>
  <si>
    <t>10ft-Revs. Head Plow  + 10ft-Revs. Head Plow  + 10ft-Revs. Head Plow  + 10ft Revs. - 8ft LH Wing</t>
  </si>
  <si>
    <t>10ft-Revs. Head Plow  + 10ft-Revs. Head Plow  + 10ft-Revs. Head Plow  + 12ft-RH w/Tow Plow</t>
  </si>
  <si>
    <t xml:space="preserve">12ft RH Head Plow + 12ft RH Head Plow + 10ft-Revs. Head Plow  + 10ft-Revs. Head Plow  + 10ft-Revs. Head Plow </t>
  </si>
  <si>
    <t>12ft RH Head Plow + 10ft-Revs. Head Plow  + 10ft-Revs. Head Plow  + 10ft-Revs. Head Plow  + 10ft Revs. - 8ft LH Wing</t>
  </si>
  <si>
    <t>10ft-Revs. Head Plow  + 10ft-Revs. Head Plow  + 10ft-Revs. Head Plow  + 10ft Revs. - 8ft LH Wing + 10ft Revs. - 8ft LH Wing</t>
  </si>
  <si>
    <t>12ft RH Head Plow + 10ft-Revs. Head Plow  + 10ft-Revs. Head Plow  + 10ft-Revs. Head Plow  + 12ft-RH w/Tow Plow</t>
  </si>
  <si>
    <t xml:space="preserve">12ft RH Head Plow + 12ft RH Head Plow + 12ft RH Head Plow + 10ft-Revs. Head Plow  + 10ft-Revs. Head Plow  + 10ft-Revs. Head Plow </t>
  </si>
  <si>
    <t>10ft-Revs. Head Plow  + 10ft-Revs. Head Plow  + 10ft-Revs. Head Plow  + 10ft Revs. - 8ft LH Wing + 12ft-RH w/Tow Plow</t>
  </si>
  <si>
    <t>12ft RH Head Plow + 12ft RH Head Plow + 10ft-Revs. Head Plow  + 10ft-Revs. Head Plow  + 10ft-Revs. Head Plow  + 10ft Revs. - 8ft LH Wing</t>
  </si>
  <si>
    <t>12ft RH Head Plow + 10ft-Revs. Head Plow  + 10ft-Revs. Head Plow  + 10ft-Revs. Head Plow  + 10ft Revs. - 8ft LH Wing + 10ft Revs. - 8ft LH Wing</t>
  </si>
  <si>
    <t>12ft RH Head Plow + 12ft RH Head Plow + 10ft-Revs. Head Plow  + 10ft-Revs. Head Plow  + 10ft-Revs. Head Plow  + 12ft-RH w/Tow Plow</t>
  </si>
  <si>
    <t>12ft RH Head Plow + 10ft-Revs. Head Plow  + 10ft-Revs. Head Plow  + 10ft-Revs. Head Plow  + 10ft Revs. - 8ft LH Wing + 12ft-RH w/Tow Plow</t>
  </si>
  <si>
    <t>12ft RH Head Plow + 12ft RH Head Plow + 12ft RH Head Plow + 10ft-Revs. Head Plow  + 10ft-Revs. Head Plow  + 10ft-Revs. Head Plow  + 10ft Revs. - 8ft LH Wing</t>
  </si>
  <si>
    <t>10ft-Revs. Head Plow  + 10ft-Revs. Head Plow  + 10ft-Revs. Head Plow  + 10ft Revs. - 8ft LH Wing + 10ft Revs. - 8ft LH Wing + 12ft-RH w/Tow Plow</t>
  </si>
  <si>
    <t>12ft RH Head Plow + 12ft RH Head Plow + 10ft-Revs. Head Plow  + 10ft-Revs. Head Plow  + 10ft-Revs. Head Plow  + 10ft Revs. - 8ft LH Wing + 10ft Revs. - 8ft LH Wing</t>
  </si>
  <si>
    <t>12ft RH Head Plow + 12ft RH Head Plow + 12ft RH Head Plow + 10ft-Revs. Head Plow  + 10ft-Revs. Head Plow  + 10ft-Revs. Head Plow  + 12ft-RH w/Tow Plow</t>
  </si>
  <si>
    <t>12ft RH Head Plow + 12ft RH Head Plow + 10ft-Revs. Head Plow  + 10ft-Revs. Head Plow  + 10ft-Revs. Head Plow  + 10ft Revs. - 8ft LH Wing + 12ft-RH w/Tow Plow</t>
  </si>
  <si>
    <t>12ft RH Head Plow + 10ft-Revs. Head Plow  + 10ft-Revs. Head Plow  + 10ft-Revs. Head Plow  + 10ft Revs. - 8ft LH Wing + 10ft Revs. - 8ft LH Wing + 12ft-RH w/Tow Plow</t>
  </si>
  <si>
    <t>12ft RH Head Plow + 12ft RH Head Plow + 12ft RH Head Plow + 10ft-Revs. Head Plow  + 10ft-Revs. Head Plow  + 10ft-Revs. Head Plow  + 10ft Revs. - 8ft LH Wing + 10ft Revs. - 8ft LH Wing</t>
  </si>
  <si>
    <t>12ft RH Head Plow + 12ft RH Head Plow + 12ft RH Head Plow + 10ft-Revs. Head Plow  + 10ft-Revs. Head Plow  + 10ft-Revs. Head Plow  + 10ft Revs. - 8ft LH Wing + 12ft-RH w/Tow Plow</t>
  </si>
  <si>
    <t>12ft RH Head Plow + 12ft RH Head Plow + 10ft-Revs. Head Plow  + 10ft-Revs. Head Plow  + 10ft-Revs. Head Plow  + 10ft Revs. - 8ft LH Wing + 10ft Revs. - 8ft LH Wing + 12ft-RH w/Tow Plow</t>
  </si>
  <si>
    <t>12ft RH Head Plow + 12ft RH Head Plow + 12ft RH Head Plow + 10ft-Revs. Head Plow  + 10ft-Revs. Head Plow  + 10ft-Revs. Head Plow  + 10ft Revs. - 8ft LH Wing + 10ft Revs. - 8ft LH Wing + 12ft-RH w/Tow Plow</t>
  </si>
  <si>
    <t xml:space="preserve">  Number of this Type of Node
on Route</t>
  </si>
  <si>
    <t>Plow Combination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</si>
</sst>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.00\ \f\t"/>
    <numFmt numFmtId="166" formatCode="0\ \f\t"/>
    <numFmt numFmtId="167" formatCode="0&quot; yrs&quot;"/>
    <numFmt numFmtId="168" formatCode="0.0&quot; yrs&quot;"/>
    <numFmt numFmtId="169" formatCode="0&quot; days&quot;"/>
    <numFmt numFmtId="170" formatCode="0&quot; miles&quot;"/>
    <numFmt numFmtId="171" formatCode="0&quot; mph&quot;"/>
    <numFmt numFmtId="172" formatCode="0&quot; min&quot;"/>
    <numFmt numFmtId="173" formatCode="0&quot; HRS&quot;"/>
    <numFmt numFmtId="174" formatCode="0.0&quot; hrs&quot;"/>
    <numFmt numFmtId="175" formatCode="0.0&quot; HRS&quot;"/>
    <numFmt numFmtId="176" formatCode="0.00&quot; hrs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3300"/>
      <name val="Calibri"/>
      <family val="2"/>
      <scheme val="minor"/>
    </font>
    <font>
      <b/>
      <sz val="24"/>
      <color rgb="FFFF99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24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24"/>
      <color theme="2" tint="-0.499984740745262"/>
      <name val="Calibri"/>
      <family val="2"/>
      <scheme val="minor"/>
    </font>
    <font>
      <b/>
      <sz val="14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A4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9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theme="7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theme="4" tint="0.79998168889431442"/>
      </patternFill>
    </fill>
  </fills>
  <borders count="10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7030A0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4"/>
      </left>
      <right style="medium">
        <color theme="7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7" xfId="0" applyBorder="1"/>
    <xf numFmtId="0" fontId="0" fillId="0" borderId="12" xfId="0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0" xfId="0" applyFill="1" applyBorder="1"/>
    <xf numFmtId="0" fontId="5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0" fillId="15" borderId="0" xfId="0" applyFill="1"/>
    <xf numFmtId="0" fontId="0" fillId="0" borderId="0" xfId="0" applyFill="1"/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5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5" fontId="0" fillId="0" borderId="0" xfId="0" applyNumberFormat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6" fontId="18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27" xfId="0" applyBorder="1"/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/>
    <xf numFmtId="0" fontId="1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0" fillId="0" borderId="4" xfId="0" applyBorder="1"/>
    <xf numFmtId="0" fontId="0" fillId="5" borderId="12" xfId="0" applyFill="1" applyBorder="1" applyAlignment="1"/>
    <xf numFmtId="0" fontId="5" fillId="5" borderId="0" xfId="0" applyFont="1" applyFill="1" applyBorder="1" applyAlignment="1">
      <alignment horizontal="center" vertical="center"/>
    </xf>
    <xf numFmtId="0" fontId="0" fillId="5" borderId="0" xfId="0" applyFill="1"/>
    <xf numFmtId="0" fontId="14" fillId="19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/>
    <xf numFmtId="0" fontId="6" fillId="5" borderId="0" xfId="0" applyFont="1" applyFill="1" applyBorder="1" applyAlignment="1">
      <alignment vertical="center"/>
    </xf>
    <xf numFmtId="0" fontId="0" fillId="5" borderId="0" xfId="0" applyFill="1" applyBorder="1" applyAlignment="1"/>
    <xf numFmtId="164" fontId="13" fillId="5" borderId="0" xfId="0" applyNumberFormat="1" applyFont="1" applyFill="1" applyBorder="1"/>
    <xf numFmtId="164" fontId="13" fillId="15" borderId="6" xfId="0" applyNumberFormat="1" applyFont="1" applyFill="1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6" fontId="16" fillId="0" borderId="3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6" fillId="0" borderId="33" xfId="0" applyNumberFormat="1" applyFon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6" fontId="27" fillId="15" borderId="36" xfId="0" applyNumberFormat="1" applyFont="1" applyFill="1" applyBorder="1" applyAlignment="1">
      <alignment horizontal="center" vertical="center"/>
    </xf>
    <xf numFmtId="0" fontId="23" fillId="15" borderId="36" xfId="0" applyFont="1" applyFill="1" applyBorder="1" applyAlignment="1">
      <alignment horizontal="center" wrapText="1"/>
    </xf>
    <xf numFmtId="0" fontId="17" fillId="0" borderId="0" xfId="0" applyFont="1" applyBorder="1" applyAlignment="1">
      <alignment vertical="center" wrapText="1"/>
    </xf>
    <xf numFmtId="0" fontId="0" fillId="0" borderId="37" xfId="0" applyBorder="1"/>
    <xf numFmtId="0" fontId="3" fillId="0" borderId="0" xfId="0" applyFont="1"/>
    <xf numFmtId="0" fontId="24" fillId="0" borderId="0" xfId="0" applyFont="1"/>
    <xf numFmtId="0" fontId="24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13" borderId="0" xfId="0" applyFill="1"/>
    <xf numFmtId="0" fontId="14" fillId="13" borderId="0" xfId="0" applyFont="1" applyFill="1" applyAlignment="1"/>
    <xf numFmtId="0" fontId="14" fillId="13" borderId="17" xfId="0" applyFont="1" applyFill="1" applyBorder="1" applyAlignment="1">
      <alignment horizontal="center"/>
    </xf>
    <xf numFmtId="0" fontId="0" fillId="13" borderId="53" xfId="0" applyFill="1" applyBorder="1"/>
    <xf numFmtId="0" fontId="16" fillId="29" borderId="18" xfId="0" applyFont="1" applyFill="1" applyBorder="1" applyAlignment="1">
      <alignment horizontal="center" vertical="center"/>
    </xf>
    <xf numFmtId="0" fontId="30" fillId="5" borderId="0" xfId="0" applyFont="1" applyFill="1" applyBorder="1" applyAlignment="1"/>
    <xf numFmtId="0" fontId="3" fillId="5" borderId="0" xfId="0" applyFont="1" applyFill="1" applyBorder="1"/>
    <xf numFmtId="0" fontId="3" fillId="5" borderId="0" xfId="0" applyFont="1" applyFill="1"/>
    <xf numFmtId="171" fontId="0" fillId="0" borderId="15" xfId="0" applyNumberFormat="1" applyBorder="1" applyAlignment="1">
      <alignment horizontal="center"/>
    </xf>
    <xf numFmtId="171" fontId="16" fillId="0" borderId="32" xfId="0" applyNumberFormat="1" applyFont="1" applyBorder="1" applyAlignment="1">
      <alignment horizontal="center" vertical="center"/>
    </xf>
    <xf numFmtId="171" fontId="0" fillId="0" borderId="15" xfId="0" applyNumberFormat="1" applyBorder="1" applyAlignment="1">
      <alignment horizontal="center" vertical="center"/>
    </xf>
    <xf numFmtId="164" fontId="16" fillId="0" borderId="35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171" fontId="17" fillId="0" borderId="15" xfId="0" applyNumberFormat="1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top" wrapText="1"/>
    </xf>
    <xf numFmtId="0" fontId="3" fillId="0" borderId="70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21" borderId="30" xfId="0" applyFont="1" applyFill="1" applyBorder="1" applyAlignment="1">
      <alignment horizontal="center" vertical="center"/>
    </xf>
    <xf numFmtId="0" fontId="21" fillId="21" borderId="3" xfId="0" applyFont="1" applyFill="1" applyBorder="1" applyAlignment="1">
      <alignment horizontal="center" vertical="center"/>
    </xf>
    <xf numFmtId="164" fontId="18" fillId="15" borderId="15" xfId="0" applyNumberFormat="1" applyFont="1" applyFill="1" applyBorder="1" applyAlignment="1">
      <alignment horizontal="center" vertical="center"/>
    </xf>
    <xf numFmtId="0" fontId="18" fillId="15" borderId="15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164" fontId="18" fillId="15" borderId="56" xfId="0" applyNumberFormat="1" applyFont="1" applyFill="1" applyBorder="1" applyAlignment="1">
      <alignment horizontal="center" vertical="center"/>
    </xf>
    <xf numFmtId="0" fontId="21" fillId="3" borderId="58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0" fillId="13" borderId="0" xfId="0" applyNumberFormat="1" applyFill="1" applyAlignment="1">
      <alignment horizontal="left" vertical="center"/>
    </xf>
    <xf numFmtId="0" fontId="6" fillId="29" borderId="18" xfId="0" applyFont="1" applyFill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center"/>
    </xf>
    <xf numFmtId="0" fontId="0" fillId="13" borderId="12" xfId="0" applyFill="1" applyBorder="1"/>
    <xf numFmtId="164" fontId="16" fillId="5" borderId="56" xfId="0" applyNumberFormat="1" applyFont="1" applyFill="1" applyBorder="1" applyAlignment="1">
      <alignment horizontal="center" vertical="center"/>
    </xf>
    <xf numFmtId="164" fontId="16" fillId="0" borderId="54" xfId="0" applyNumberFormat="1" applyFont="1" applyFill="1" applyBorder="1" applyAlignment="1">
      <alignment horizontal="center" vertical="center"/>
    </xf>
    <xf numFmtId="164" fontId="16" fillId="5" borderId="54" xfId="0" applyNumberFormat="1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166" fontId="18" fillId="0" borderId="62" xfId="0" applyNumberFormat="1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5" fontId="18" fillId="0" borderId="19" xfId="1" applyNumberFormat="1" applyFont="1" applyBorder="1" applyAlignment="1" applyProtection="1">
      <alignment horizontal="center" vertical="center"/>
      <protection locked="0"/>
    </xf>
    <xf numFmtId="166" fontId="18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167" fontId="18" fillId="0" borderId="19" xfId="0" applyNumberFormat="1" applyFont="1" applyBorder="1" applyAlignment="1" applyProtection="1">
      <alignment horizontal="center" vertical="center"/>
      <protection locked="0"/>
    </xf>
    <xf numFmtId="164" fontId="29" fillId="0" borderId="57" xfId="0" applyNumberFormat="1" applyFont="1" applyBorder="1" applyAlignment="1" applyProtection="1">
      <alignment horizontal="center" vertical="center"/>
      <protection locked="0"/>
    </xf>
    <xf numFmtId="164" fontId="18" fillId="0" borderId="57" xfId="0" applyNumberFormat="1" applyFont="1" applyBorder="1" applyAlignment="1" applyProtection="1">
      <alignment horizontal="center" vertical="center"/>
      <protection locked="0"/>
    </xf>
    <xf numFmtId="164" fontId="18" fillId="0" borderId="62" xfId="0" applyNumberFormat="1" applyFont="1" applyBorder="1" applyAlignment="1" applyProtection="1">
      <alignment horizontal="center" vertical="center"/>
      <protection locked="0"/>
    </xf>
    <xf numFmtId="167" fontId="18" fillId="0" borderId="64" xfId="0" applyNumberFormat="1" applyFont="1" applyBorder="1" applyAlignment="1" applyProtection="1">
      <alignment horizontal="center" vertical="center"/>
      <protection locked="0"/>
    </xf>
    <xf numFmtId="164" fontId="18" fillId="0" borderId="59" xfId="0" applyNumberFormat="1" applyFont="1" applyBorder="1" applyAlignment="1" applyProtection="1">
      <alignment horizontal="center" vertical="center"/>
      <protection locked="0"/>
    </xf>
    <xf numFmtId="167" fontId="18" fillId="0" borderId="22" xfId="0" applyNumberFormat="1" applyFont="1" applyBorder="1" applyAlignment="1" applyProtection="1">
      <alignment horizontal="center" vertical="center"/>
      <protection locked="0"/>
    </xf>
    <xf numFmtId="164" fontId="18" fillId="0" borderId="64" xfId="0" applyNumberFormat="1" applyFont="1" applyBorder="1" applyAlignment="1" applyProtection="1">
      <alignment horizontal="center" vertical="center"/>
      <protection locked="0"/>
    </xf>
    <xf numFmtId="166" fontId="18" fillId="0" borderId="64" xfId="0" applyNumberFormat="1" applyFont="1" applyBorder="1" applyAlignment="1" applyProtection="1">
      <alignment horizontal="center" vertical="center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164" fontId="18" fillId="0" borderId="22" xfId="0" applyNumberFormat="1" applyFont="1" applyBorder="1" applyAlignment="1" applyProtection="1">
      <alignment horizontal="center" vertical="center"/>
      <protection locked="0"/>
    </xf>
    <xf numFmtId="166" fontId="18" fillId="0" borderId="22" xfId="0" applyNumberFormat="1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164" fontId="29" fillId="0" borderId="22" xfId="0" applyNumberFormat="1" applyFont="1" applyBorder="1" applyAlignment="1" applyProtection="1">
      <alignment horizontal="center" vertical="center"/>
      <protection locked="0"/>
    </xf>
    <xf numFmtId="166" fontId="29" fillId="0" borderId="22" xfId="0" applyNumberFormat="1" applyFont="1" applyBorder="1" applyAlignment="1" applyProtection="1">
      <alignment horizontal="center" vertical="center"/>
      <protection locked="0"/>
    </xf>
    <xf numFmtId="164" fontId="29" fillId="0" borderId="19" xfId="0" applyNumberFormat="1" applyFont="1" applyBorder="1" applyAlignment="1" applyProtection="1">
      <alignment horizontal="center" vertical="center"/>
      <protection locked="0"/>
    </xf>
    <xf numFmtId="164" fontId="29" fillId="0" borderId="54" xfId="0" applyNumberFormat="1" applyFont="1" applyBorder="1" applyAlignment="1" applyProtection="1">
      <alignment horizontal="center" vertical="center"/>
      <protection locked="0"/>
    </xf>
    <xf numFmtId="166" fontId="29" fillId="0" borderId="19" xfId="0" applyNumberFormat="1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166" fontId="29" fillId="0" borderId="12" xfId="0" applyNumberFormat="1" applyFont="1" applyBorder="1" applyAlignment="1" applyProtection="1">
      <alignment horizontal="center" vertical="center"/>
      <protection locked="0"/>
    </xf>
    <xf numFmtId="164" fontId="18" fillId="21" borderId="69" xfId="0" applyNumberFormat="1" applyFont="1" applyFill="1" applyBorder="1" applyAlignment="1" applyProtection="1">
      <alignment horizontal="center" vertical="center"/>
      <protection locked="0"/>
    </xf>
    <xf numFmtId="164" fontId="18" fillId="21" borderId="62" xfId="0" applyNumberFormat="1" applyFont="1" applyFill="1" applyBorder="1" applyAlignment="1" applyProtection="1">
      <alignment horizontal="center" vertical="center"/>
      <protection locked="0"/>
    </xf>
    <xf numFmtId="166" fontId="18" fillId="21" borderId="62" xfId="0" applyNumberFormat="1" applyFont="1" applyFill="1" applyBorder="1" applyAlignment="1" applyProtection="1">
      <alignment horizontal="center" vertical="center"/>
      <protection locked="0"/>
    </xf>
    <xf numFmtId="0" fontId="18" fillId="21" borderId="62" xfId="0" applyFont="1" applyFill="1" applyBorder="1" applyAlignment="1" applyProtection="1">
      <alignment horizontal="center" vertical="center"/>
      <protection locked="0"/>
    </xf>
    <xf numFmtId="164" fontId="18" fillId="21" borderId="57" xfId="0" applyNumberFormat="1" applyFont="1" applyFill="1" applyBorder="1" applyAlignment="1" applyProtection="1">
      <alignment horizontal="center" vertical="center"/>
      <protection locked="0"/>
    </xf>
    <xf numFmtId="164" fontId="18" fillId="21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65" xfId="0" applyFont="1" applyBorder="1" applyAlignment="1">
      <alignment horizontal="center" vertical="top" wrapText="1"/>
    </xf>
    <xf numFmtId="0" fontId="20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5" fontId="18" fillId="4" borderId="22" xfId="0" applyNumberFormat="1" applyFont="1" applyFill="1" applyBorder="1" applyAlignment="1" applyProtection="1">
      <alignment horizontal="center" vertical="center"/>
      <protection locked="0"/>
    </xf>
    <xf numFmtId="164" fontId="18" fillId="4" borderId="47" xfId="0" applyNumberFormat="1" applyFont="1" applyFill="1" applyBorder="1" applyAlignment="1" applyProtection="1">
      <alignment horizontal="center" vertical="center"/>
      <protection locked="0"/>
    </xf>
    <xf numFmtId="164" fontId="18" fillId="4" borderId="22" xfId="0" applyNumberFormat="1" applyFont="1" applyFill="1" applyBorder="1" applyAlignment="1" applyProtection="1">
      <alignment horizontal="center" vertical="center"/>
      <protection locked="0"/>
    </xf>
    <xf numFmtId="5" fontId="18" fillId="4" borderId="47" xfId="0" applyNumberFormat="1" applyFont="1" applyFill="1" applyBorder="1" applyAlignment="1" applyProtection="1">
      <alignment horizontal="center" vertical="center"/>
      <protection locked="0"/>
    </xf>
    <xf numFmtId="169" fontId="18" fillId="4" borderId="22" xfId="0" applyNumberFormat="1" applyFont="1" applyFill="1" applyBorder="1" applyAlignment="1" applyProtection="1">
      <alignment horizontal="center" vertical="center"/>
      <protection locked="0"/>
    </xf>
    <xf numFmtId="171" fontId="18" fillId="4" borderId="57" xfId="0" applyNumberFormat="1" applyFont="1" applyFill="1" applyBorder="1" applyAlignment="1" applyProtection="1">
      <alignment horizontal="center" vertical="center"/>
      <protection locked="0"/>
    </xf>
    <xf numFmtId="169" fontId="18" fillId="4" borderId="47" xfId="0" applyNumberFormat="1" applyFont="1" applyFill="1" applyBorder="1" applyAlignment="1" applyProtection="1">
      <alignment horizontal="center" vertical="center"/>
      <protection locked="0"/>
    </xf>
    <xf numFmtId="169" fontId="18" fillId="4" borderId="67" xfId="0" applyNumberFormat="1" applyFont="1" applyFill="1" applyBorder="1" applyAlignment="1" applyProtection="1">
      <alignment horizontal="center" vertical="center"/>
      <protection locked="0"/>
    </xf>
    <xf numFmtId="169" fontId="18" fillId="21" borderId="47" xfId="0" applyNumberFormat="1" applyFont="1" applyFill="1" applyBorder="1" applyAlignment="1" applyProtection="1">
      <alignment horizontal="center" vertical="center"/>
      <protection locked="0"/>
    </xf>
    <xf numFmtId="164" fontId="18" fillId="21" borderId="47" xfId="0" applyNumberFormat="1" applyFont="1" applyFill="1" applyBorder="1" applyAlignment="1" applyProtection="1">
      <alignment horizontal="center" vertical="center"/>
      <protection locked="0"/>
    </xf>
    <xf numFmtId="164" fontId="18" fillId="3" borderId="19" xfId="0" applyNumberFormat="1" applyFont="1" applyFill="1" applyBorder="1" applyAlignment="1" applyProtection="1">
      <alignment horizontal="center" vertical="center"/>
      <protection locked="0"/>
    </xf>
    <xf numFmtId="5" fontId="18" fillId="21" borderId="47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hidden="1"/>
    </xf>
    <xf numFmtId="164" fontId="18" fillId="9" borderId="19" xfId="0" applyNumberFormat="1" applyFont="1" applyFill="1" applyBorder="1" applyAlignment="1" applyProtection="1">
      <alignment horizontal="center" vertical="center"/>
      <protection locked="0"/>
    </xf>
    <xf numFmtId="164" fontId="18" fillId="9" borderId="57" xfId="0" applyNumberFormat="1" applyFont="1" applyFill="1" applyBorder="1" applyAlignment="1" applyProtection="1">
      <alignment horizontal="center" vertical="center"/>
      <protection locked="0"/>
    </xf>
    <xf numFmtId="164" fontId="18" fillId="4" borderId="19" xfId="0" applyNumberFormat="1" applyFont="1" applyFill="1" applyBorder="1" applyAlignment="1" applyProtection="1">
      <alignment horizontal="center" vertical="center"/>
      <protection locked="0"/>
    </xf>
    <xf numFmtId="164" fontId="18" fillId="4" borderId="57" xfId="0" applyNumberFormat="1" applyFont="1" applyFill="1" applyBorder="1" applyAlignment="1" applyProtection="1">
      <alignment horizontal="center" vertical="center"/>
      <protection locked="0"/>
    </xf>
    <xf numFmtId="164" fontId="18" fillId="3" borderId="57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1" fontId="18" fillId="0" borderId="22" xfId="0" applyNumberFormat="1" applyFont="1" applyFill="1" applyBorder="1" applyAlignment="1" applyProtection="1">
      <alignment horizont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166" fontId="18" fillId="0" borderId="22" xfId="0" applyNumberFormat="1" applyFont="1" applyFill="1" applyBorder="1" applyAlignment="1" applyProtection="1">
      <alignment horizontal="center" vertical="center"/>
      <protection locked="0"/>
    </xf>
    <xf numFmtId="1" fontId="18" fillId="0" borderId="22" xfId="0" applyNumberFormat="1" applyFont="1" applyFill="1" applyBorder="1" applyAlignment="1" applyProtection="1">
      <alignment horizontal="center" vertical="center"/>
      <protection locked="0"/>
    </xf>
    <xf numFmtId="1" fontId="18" fillId="0" borderId="57" xfId="0" applyNumberFormat="1" applyFont="1" applyFill="1" applyBorder="1" applyAlignment="1" applyProtection="1">
      <alignment horizontal="center" vertical="center"/>
      <protection locked="0"/>
    </xf>
    <xf numFmtId="166" fontId="18" fillId="0" borderId="57" xfId="0" applyNumberFormat="1" applyFont="1" applyFill="1" applyBorder="1" applyAlignment="1" applyProtection="1">
      <alignment horizontal="center" vertical="center"/>
      <protection locked="0"/>
    </xf>
    <xf numFmtId="0" fontId="3" fillId="0" borderId="64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top" wrapText="1"/>
    </xf>
    <xf numFmtId="1" fontId="18" fillId="13" borderId="69" xfId="0" applyNumberFormat="1" applyFont="1" applyFill="1" applyBorder="1" applyAlignment="1" applyProtection="1">
      <alignment horizontal="center" vertical="center"/>
      <protection locked="0"/>
    </xf>
    <xf numFmtId="0" fontId="18" fillId="13" borderId="69" xfId="0" applyFont="1" applyFill="1" applyBorder="1" applyAlignment="1" applyProtection="1">
      <alignment horizontal="center" vertical="center"/>
      <protection locked="0"/>
    </xf>
    <xf numFmtId="1" fontId="18" fillId="13" borderId="59" xfId="0" applyNumberFormat="1" applyFont="1" applyFill="1" applyBorder="1" applyAlignment="1" applyProtection="1">
      <alignment horizontal="center" vertical="center"/>
      <protection locked="0"/>
    </xf>
    <xf numFmtId="1" fontId="18" fillId="13" borderId="22" xfId="0" applyNumberFormat="1" applyFont="1" applyFill="1" applyBorder="1" applyAlignment="1" applyProtection="1">
      <alignment horizontal="center"/>
      <protection locked="0"/>
    </xf>
    <xf numFmtId="0" fontId="18" fillId="13" borderId="22" xfId="0" applyFont="1" applyFill="1" applyBorder="1" applyAlignment="1" applyProtection="1">
      <alignment horizontal="center" vertical="center"/>
      <protection locked="0"/>
    </xf>
    <xf numFmtId="1" fontId="18" fillId="13" borderId="57" xfId="0" applyNumberFormat="1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wrapText="1"/>
    </xf>
    <xf numFmtId="0" fontId="4" fillId="0" borderId="65" xfId="0" applyFont="1" applyFill="1" applyBorder="1" applyAlignment="1">
      <alignment horizontal="center" wrapText="1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top" wrapText="1"/>
    </xf>
    <xf numFmtId="0" fontId="4" fillId="0" borderId="64" xfId="0" applyFont="1" applyFill="1" applyBorder="1" applyAlignment="1">
      <alignment horizontal="center" wrapText="1"/>
    </xf>
    <xf numFmtId="1" fontId="18" fillId="14" borderId="69" xfId="0" applyNumberFormat="1" applyFont="1" applyFill="1" applyBorder="1" applyAlignment="1" applyProtection="1">
      <alignment horizontal="center" vertical="center"/>
      <protection locked="0"/>
    </xf>
    <xf numFmtId="0" fontId="18" fillId="14" borderId="69" xfId="0" applyFont="1" applyFill="1" applyBorder="1" applyAlignment="1" applyProtection="1">
      <alignment horizontal="center" vertical="center"/>
      <protection locked="0"/>
    </xf>
    <xf numFmtId="166" fontId="18" fillId="14" borderId="69" xfId="0" applyNumberFormat="1" applyFont="1" applyFill="1" applyBorder="1" applyAlignment="1" applyProtection="1">
      <alignment horizontal="center" vertical="center"/>
      <protection locked="0"/>
    </xf>
    <xf numFmtId="1" fontId="18" fillId="14" borderId="22" xfId="0" applyNumberFormat="1" applyFont="1" applyFill="1" applyBorder="1" applyAlignment="1" applyProtection="1">
      <alignment horizontal="center"/>
      <protection locked="0"/>
    </xf>
    <xf numFmtId="0" fontId="18" fillId="14" borderId="22" xfId="0" applyFont="1" applyFill="1" applyBorder="1" applyAlignment="1" applyProtection="1">
      <alignment horizontal="center" vertical="center"/>
      <protection locked="0"/>
    </xf>
    <xf numFmtId="166" fontId="18" fillId="14" borderId="22" xfId="0" applyNumberFormat="1" applyFont="1" applyFill="1" applyBorder="1" applyAlignment="1" applyProtection="1">
      <alignment horizontal="center" vertical="center"/>
      <protection locked="0"/>
    </xf>
    <xf numFmtId="1" fontId="18" fillId="14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63" xfId="0" applyFont="1" applyBorder="1" applyAlignment="1" applyProtection="1">
      <alignment horizontal="center" vertical="center" wrapText="1"/>
      <protection hidden="1"/>
    </xf>
    <xf numFmtId="170" fontId="18" fillId="11" borderId="60" xfId="0" applyNumberFormat="1" applyFont="1" applyFill="1" applyBorder="1" applyAlignment="1" applyProtection="1">
      <alignment horizontal="center" vertical="center"/>
      <protection locked="0" hidden="1"/>
    </xf>
    <xf numFmtId="170" fontId="18" fillId="0" borderId="73" xfId="0" applyNumberFormat="1" applyFont="1" applyBorder="1" applyAlignment="1" applyProtection="1">
      <alignment horizontal="center"/>
      <protection locked="0" hidden="1"/>
    </xf>
    <xf numFmtId="170" fontId="18" fillId="11" borderId="73" xfId="0" applyNumberFormat="1" applyFont="1" applyFill="1" applyBorder="1" applyAlignment="1" applyProtection="1">
      <alignment horizontal="center"/>
      <protection locked="0" hidden="1"/>
    </xf>
    <xf numFmtId="0" fontId="4" fillId="0" borderId="70" xfId="0" applyFont="1" applyBorder="1" applyAlignment="1" applyProtection="1">
      <alignment horizontal="center" vertical="center" wrapText="1"/>
      <protection hidden="1"/>
    </xf>
    <xf numFmtId="1" fontId="18" fillId="4" borderId="64" xfId="0" applyNumberFormat="1" applyFont="1" applyFill="1" applyBorder="1" applyAlignment="1" applyProtection="1">
      <alignment horizontal="center" vertical="center"/>
      <protection locked="0" hidden="1"/>
    </xf>
    <xf numFmtId="172" fontId="18" fillId="4" borderId="60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47" xfId="0" applyFont="1" applyBorder="1" applyAlignment="1" applyProtection="1">
      <alignment horizontal="center" vertical="center"/>
      <protection locked="0" hidden="1"/>
    </xf>
    <xf numFmtId="172" fontId="18" fillId="0" borderId="73" xfId="0" applyNumberFormat="1" applyFont="1" applyBorder="1" applyAlignment="1" applyProtection="1">
      <alignment horizontal="center" vertical="center"/>
      <protection locked="0" hidden="1"/>
    </xf>
    <xf numFmtId="1" fontId="18" fillId="4" borderId="47" xfId="0" applyNumberFormat="1" applyFont="1" applyFill="1" applyBorder="1" applyAlignment="1" applyProtection="1">
      <alignment horizontal="center"/>
      <protection locked="0" hidden="1"/>
    </xf>
    <xf numFmtId="172" fontId="18" fillId="4" borderId="73" xfId="0" applyNumberFormat="1" applyFont="1" applyFill="1" applyBorder="1" applyAlignment="1" applyProtection="1">
      <alignment horizontal="center"/>
      <protection locked="0" hidden="1"/>
    </xf>
    <xf numFmtId="1" fontId="18" fillId="0" borderId="47" xfId="0" applyNumberFormat="1" applyFont="1" applyBorder="1" applyAlignment="1" applyProtection="1">
      <alignment horizontal="center"/>
      <protection locked="0" hidden="1"/>
    </xf>
    <xf numFmtId="172" fontId="18" fillId="0" borderId="73" xfId="0" applyNumberFormat="1" applyFont="1" applyBorder="1" applyAlignment="1" applyProtection="1">
      <alignment horizontal="center"/>
      <protection locked="0" hidden="1"/>
    </xf>
    <xf numFmtId="0" fontId="18" fillId="17" borderId="47" xfId="0" applyFont="1" applyFill="1" applyBorder="1" applyAlignment="1" applyProtection="1">
      <alignment horizontal="center" vertical="center"/>
      <protection locked="0" hidden="1"/>
    </xf>
    <xf numFmtId="172" fontId="18" fillId="17" borderId="73" xfId="0" applyNumberFormat="1" applyFont="1" applyFill="1" applyBorder="1" applyAlignment="1" applyProtection="1">
      <alignment horizontal="center" vertical="center"/>
      <protection locked="0" hidden="1"/>
    </xf>
    <xf numFmtId="0" fontId="18" fillId="9" borderId="47" xfId="0" applyFont="1" applyFill="1" applyBorder="1" applyAlignment="1" applyProtection="1">
      <alignment horizontal="center" vertical="center"/>
      <protection locked="0" hidden="1"/>
    </xf>
    <xf numFmtId="172" fontId="18" fillId="9" borderId="73" xfId="0" applyNumberFormat="1" applyFont="1" applyFill="1" applyBorder="1" applyAlignment="1" applyProtection="1">
      <alignment horizontal="center" vertical="center"/>
      <protection locked="0" hidden="1"/>
    </xf>
    <xf numFmtId="0" fontId="18" fillId="6" borderId="47" xfId="0" applyFont="1" applyFill="1" applyBorder="1" applyAlignment="1" applyProtection="1">
      <alignment horizontal="center" vertical="center"/>
      <protection locked="0" hidden="1"/>
    </xf>
    <xf numFmtId="172" fontId="18" fillId="6" borderId="73" xfId="0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0" applyFont="1" applyFill="1" applyProtection="1">
      <protection hidden="1"/>
    </xf>
    <xf numFmtId="0" fontId="24" fillId="15" borderId="0" xfId="0" applyFont="1" applyFill="1" applyProtection="1">
      <protection hidden="1"/>
    </xf>
    <xf numFmtId="0" fontId="24" fillId="15" borderId="0" xfId="0" applyFont="1" applyFill="1" applyBorder="1" applyProtection="1">
      <protection hidden="1"/>
    </xf>
    <xf numFmtId="1" fontId="28" fillId="15" borderId="36" xfId="0" applyNumberFormat="1" applyFont="1" applyFill="1" applyBorder="1" applyAlignment="1" applyProtection="1">
      <alignment horizontal="center" vertical="center"/>
      <protection hidden="1"/>
    </xf>
    <xf numFmtId="1" fontId="28" fillId="15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vertical="center" wrapText="1"/>
    </xf>
    <xf numFmtId="171" fontId="0" fillId="0" borderId="0" xfId="0" applyNumberFormat="1"/>
    <xf numFmtId="0" fontId="24" fillId="15" borderId="36" xfId="0" applyFont="1" applyFill="1" applyBorder="1" applyProtection="1">
      <protection hidden="1"/>
    </xf>
    <xf numFmtId="0" fontId="24" fillId="15" borderId="36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/>
    <xf numFmtId="0" fontId="3" fillId="0" borderId="79" xfId="0" applyFont="1" applyBorder="1" applyAlignment="1">
      <alignment horizontal="center" vertical="center" wrapText="1"/>
    </xf>
    <xf numFmtId="167" fontId="29" fillId="0" borderId="22" xfId="0" applyNumberFormat="1" applyFont="1" applyBorder="1" applyAlignment="1" applyProtection="1">
      <alignment horizontal="center" vertical="center"/>
      <protection locked="0"/>
    </xf>
    <xf numFmtId="167" fontId="29" fillId="0" borderId="47" xfId="0" applyNumberFormat="1" applyFont="1" applyBorder="1" applyAlignment="1" applyProtection="1">
      <alignment horizontal="center" vertical="center"/>
      <protection locked="0"/>
    </xf>
    <xf numFmtId="167" fontId="18" fillId="21" borderId="64" xfId="0" applyNumberFormat="1" applyFont="1" applyFill="1" applyBorder="1" applyAlignment="1" applyProtection="1">
      <alignment horizontal="center" vertical="center"/>
      <protection locked="0"/>
    </xf>
    <xf numFmtId="164" fontId="18" fillId="21" borderId="59" xfId="0" applyNumberFormat="1" applyFont="1" applyFill="1" applyBorder="1" applyAlignment="1" applyProtection="1">
      <alignment horizontal="center" vertical="center"/>
      <protection locked="0"/>
    </xf>
    <xf numFmtId="166" fontId="26" fillId="15" borderId="36" xfId="0" applyNumberFormat="1" applyFont="1" applyFill="1" applyBorder="1" applyAlignment="1" applyProtection="1">
      <alignment horizontal="center" vertical="center"/>
      <protection hidden="1"/>
    </xf>
    <xf numFmtId="0" fontId="23" fillId="15" borderId="36" xfId="0" applyFont="1" applyFill="1" applyBorder="1" applyAlignment="1" applyProtection="1">
      <alignment horizontal="center" wrapText="1"/>
      <protection hidden="1"/>
    </xf>
    <xf numFmtId="166" fontId="26" fillId="15" borderId="36" xfId="0" applyNumberFormat="1" applyFont="1" applyFill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24" fillId="15" borderId="36" xfId="0" applyFont="1" applyFill="1" applyBorder="1" applyAlignment="1" applyProtection="1">
      <protection hidden="1"/>
    </xf>
    <xf numFmtId="166" fontId="23" fillId="15" borderId="36" xfId="0" applyNumberFormat="1" applyFont="1" applyFill="1" applyBorder="1" applyAlignment="1" applyProtection="1">
      <alignment horizontal="center" vertical="center"/>
      <protection hidden="1"/>
    </xf>
    <xf numFmtId="0" fontId="17" fillId="6" borderId="18" xfId="0" applyFont="1" applyFill="1" applyBorder="1" applyAlignment="1" applyProtection="1">
      <alignment horizontal="center" vertical="center"/>
      <protection locked="0"/>
    </xf>
    <xf numFmtId="0" fontId="33" fillId="0" borderId="0" xfId="0" applyFont="1" applyProtection="1">
      <protection hidden="1"/>
    </xf>
    <xf numFmtId="0" fontId="33" fillId="0" borderId="0" xfId="0" applyFont="1"/>
    <xf numFmtId="0" fontId="33" fillId="0" borderId="0" xfId="0" applyFont="1" applyBorder="1"/>
    <xf numFmtId="0" fontId="33" fillId="0" borderId="0" xfId="0" applyFont="1" applyFill="1" applyProtection="1"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37" fillId="0" borderId="0" xfId="0" applyFont="1" applyFill="1" applyAlignment="1">
      <alignment vertical="center"/>
    </xf>
    <xf numFmtId="0" fontId="34" fillId="0" borderId="0" xfId="0" applyFont="1" applyFill="1" applyBorder="1" applyAlignment="1" applyProtection="1">
      <alignment vertical="center"/>
      <protection hidden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2" fillId="0" borderId="7" xfId="0" applyFont="1" applyBorder="1" applyAlignment="1" applyProtection="1">
      <alignment horizontal="center" vertical="center" wrapText="1"/>
      <protection hidden="1"/>
    </xf>
    <xf numFmtId="171" fontId="33" fillId="0" borderId="7" xfId="0" applyNumberFormat="1" applyFont="1" applyFill="1" applyBorder="1" applyAlignment="1" applyProtection="1">
      <alignment horizontal="center" vertical="center"/>
      <protection hidden="1"/>
    </xf>
    <xf numFmtId="0" fontId="33" fillId="0" borderId="52" xfId="0" applyFont="1" applyFill="1" applyBorder="1" applyProtection="1">
      <protection hidden="1"/>
    </xf>
    <xf numFmtId="0" fontId="32" fillId="0" borderId="0" xfId="0" applyFont="1" applyFill="1" applyBorder="1" applyAlignment="1">
      <alignment horizontal="center" vertical="center" wrapText="1"/>
    </xf>
    <xf numFmtId="1" fontId="33" fillId="0" borderId="7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/>
    <xf numFmtId="0" fontId="32" fillId="0" borderId="0" xfId="0" applyFont="1" applyFill="1" applyBorder="1" applyAlignment="1">
      <alignment horizontal="center" wrapText="1"/>
    </xf>
    <xf numFmtId="166" fontId="36" fillId="0" borderId="0" xfId="0" applyNumberFormat="1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9" fillId="0" borderId="0" xfId="0" applyFont="1"/>
    <xf numFmtId="0" fontId="40" fillId="15" borderId="54" xfId="0" applyFont="1" applyFill="1" applyBorder="1" applyAlignment="1" applyProtection="1">
      <alignment horizontal="center" vertical="center"/>
      <protection locked="0"/>
    </xf>
    <xf numFmtId="0" fontId="38" fillId="15" borderId="75" xfId="0" applyFont="1" applyFill="1" applyBorder="1" applyAlignment="1">
      <alignment horizontal="center" vertical="center"/>
    </xf>
    <xf numFmtId="0" fontId="38" fillId="15" borderId="80" xfId="0" applyFont="1" applyFill="1" applyBorder="1" applyAlignment="1">
      <alignment horizontal="center" vertical="center"/>
    </xf>
    <xf numFmtId="0" fontId="0" fillId="5" borderId="16" xfId="0" applyFill="1" applyBorder="1"/>
    <xf numFmtId="0" fontId="6" fillId="15" borderId="13" xfId="0" applyFont="1" applyFill="1" applyBorder="1" applyAlignment="1">
      <alignment horizontal="center" vertical="center"/>
    </xf>
    <xf numFmtId="0" fontId="18" fillId="0" borderId="58" xfId="0" applyNumberFormat="1" applyFont="1" applyBorder="1" applyAlignment="1" applyProtection="1">
      <alignment horizontal="center" vertical="center"/>
      <protection locked="0"/>
    </xf>
    <xf numFmtId="166" fontId="24" fillId="15" borderId="0" xfId="0" applyNumberFormat="1" applyFont="1" applyFill="1" applyBorder="1" applyAlignment="1" applyProtection="1">
      <alignment horizontal="center" vertical="center"/>
      <protection hidden="1"/>
    </xf>
    <xf numFmtId="166" fontId="24" fillId="15" borderId="43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0" fontId="24" fillId="0" borderId="0" xfId="0" applyFont="1" applyFill="1" applyBorder="1" applyProtection="1">
      <protection hidden="1"/>
    </xf>
    <xf numFmtId="0" fontId="40" fillId="11" borderId="81" xfId="0" applyFont="1" applyFill="1" applyBorder="1" applyAlignment="1" applyProtection="1">
      <alignment horizontal="center" vertical="center"/>
      <protection locked="0"/>
    </xf>
    <xf numFmtId="0" fontId="40" fillId="0" borderId="54" xfId="0" applyFont="1" applyBorder="1" applyAlignment="1" applyProtection="1">
      <alignment horizontal="center" vertical="center"/>
      <protection locked="0"/>
    </xf>
    <xf numFmtId="0" fontId="40" fillId="30" borderId="54" xfId="0" applyFont="1" applyFill="1" applyBorder="1" applyAlignment="1" applyProtection="1">
      <alignment horizontal="center" vertical="center"/>
      <protection locked="0"/>
    </xf>
    <xf numFmtId="0" fontId="40" fillId="9" borderId="54" xfId="0" applyFont="1" applyFill="1" applyBorder="1" applyAlignment="1" applyProtection="1">
      <alignment horizontal="center" vertical="center"/>
      <protection locked="0"/>
    </xf>
    <xf numFmtId="0" fontId="40" fillId="4" borderId="54" xfId="0" applyFont="1" applyFill="1" applyBorder="1" applyAlignment="1" applyProtection="1">
      <alignment horizontal="center" vertical="center"/>
      <protection locked="0"/>
    </xf>
    <xf numFmtId="0" fontId="40" fillId="21" borderId="54" xfId="0" applyFont="1" applyFill="1" applyBorder="1" applyAlignment="1" applyProtection="1">
      <alignment horizontal="center" vertical="center"/>
      <protection locked="0"/>
    </xf>
    <xf numFmtId="0" fontId="40" fillId="3" borderId="54" xfId="0" applyFont="1" applyFill="1" applyBorder="1" applyAlignment="1" applyProtection="1">
      <alignment horizontal="center" vertical="center"/>
      <protection locked="0"/>
    </xf>
    <xf numFmtId="166" fontId="24" fillId="15" borderId="36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Protection="1"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171" fontId="24" fillId="0" borderId="0" xfId="0" applyNumberFormat="1" applyFont="1" applyFill="1" applyBorder="1" applyAlignment="1" applyProtection="1">
      <alignment horizontal="center" vertical="center"/>
      <protection hidden="1"/>
    </xf>
    <xf numFmtId="1" fontId="24" fillId="0" borderId="0" xfId="0" applyNumberFormat="1" applyFont="1" applyFill="1" applyBorder="1" applyAlignment="1" applyProtection="1">
      <alignment horizontal="center" vertical="center"/>
      <protection hidden="1"/>
    </xf>
    <xf numFmtId="172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protection hidden="1"/>
    </xf>
    <xf numFmtId="172" fontId="27" fillId="0" borderId="0" xfId="0" applyNumberFormat="1" applyFont="1" applyFill="1" applyBorder="1" applyAlignment="1" applyProtection="1">
      <alignment horizontal="center"/>
      <protection hidden="1"/>
    </xf>
    <xf numFmtId="175" fontId="26" fillId="0" borderId="0" xfId="0" applyNumberFormat="1" applyFont="1" applyFill="1" applyAlignment="1" applyProtection="1">
      <protection hidden="1"/>
    </xf>
    <xf numFmtId="173" fontId="26" fillId="0" borderId="0" xfId="0" applyNumberFormat="1" applyFont="1" applyFill="1" applyAlignment="1" applyProtection="1">
      <protection hidden="1"/>
    </xf>
    <xf numFmtId="0" fontId="25" fillId="15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3" fillId="15" borderId="42" xfId="0" applyFont="1" applyFill="1" applyBorder="1" applyAlignment="1" applyProtection="1">
      <alignment horizontal="center" vertical="center" wrapText="1"/>
      <protection hidden="1"/>
    </xf>
    <xf numFmtId="0" fontId="23" fillId="15" borderId="39" xfId="0" applyFont="1" applyFill="1" applyBorder="1" applyAlignment="1" applyProtection="1">
      <alignment horizontal="center" vertical="center" wrapText="1"/>
      <protection hidden="1"/>
    </xf>
    <xf numFmtId="0" fontId="23" fillId="15" borderId="0" xfId="0" applyFont="1" applyFill="1" applyBorder="1" applyAlignment="1" applyProtection="1">
      <alignment horizontal="center" vertical="center" wrapText="1"/>
      <protection hidden="1"/>
    </xf>
    <xf numFmtId="0" fontId="23" fillId="15" borderId="36" xfId="0" applyFont="1" applyFill="1" applyBorder="1" applyAlignment="1" applyProtection="1">
      <alignment horizontal="center" vertical="center" wrapText="1"/>
      <protection hidden="1"/>
    </xf>
    <xf numFmtId="166" fontId="24" fillId="15" borderId="42" xfId="0" applyNumberFormat="1" applyFont="1" applyFill="1" applyBorder="1" applyAlignment="1" applyProtection="1">
      <alignment horizontal="center" vertical="center"/>
      <protection hidden="1"/>
    </xf>
    <xf numFmtId="166" fontId="24" fillId="15" borderId="39" xfId="0" applyNumberFormat="1" applyFont="1" applyFill="1" applyBorder="1" applyAlignment="1" applyProtection="1">
      <alignment horizontal="center" vertical="center"/>
      <protection hidden="1"/>
    </xf>
    <xf numFmtId="170" fontId="26" fillId="0" borderId="0" xfId="0" applyNumberFormat="1" applyFont="1" applyAlignment="1" applyProtection="1">
      <protection hidden="1"/>
    </xf>
    <xf numFmtId="0" fontId="26" fillId="0" borderId="0" xfId="0" applyNumberFormat="1" applyFont="1" applyAlignment="1" applyProtection="1">
      <protection hidden="1"/>
    </xf>
    <xf numFmtId="0" fontId="25" fillId="15" borderId="41" xfId="0" applyFont="1" applyFill="1" applyBorder="1" applyAlignment="1" applyProtection="1">
      <alignment vertical="center"/>
      <protection hidden="1"/>
    </xf>
    <xf numFmtId="0" fontId="23" fillId="15" borderId="42" xfId="0" applyFont="1" applyFill="1" applyBorder="1" applyAlignment="1" applyProtection="1">
      <alignment horizontal="center" vertical="top" wrapText="1"/>
      <protection hidden="1"/>
    </xf>
    <xf numFmtId="0" fontId="23" fillId="15" borderId="38" xfId="0" applyFont="1" applyFill="1" applyBorder="1" applyAlignment="1" applyProtection="1">
      <alignment horizontal="center" vertical="top" wrapText="1"/>
      <protection hidden="1"/>
    </xf>
    <xf numFmtId="0" fontId="23" fillId="15" borderId="39" xfId="0" applyFont="1" applyFill="1" applyBorder="1" applyAlignment="1" applyProtection="1">
      <alignment horizontal="center" vertical="top" wrapText="1"/>
      <protection hidden="1"/>
    </xf>
    <xf numFmtId="1" fontId="24" fillId="15" borderId="42" xfId="0" applyNumberFormat="1" applyFont="1" applyFill="1" applyBorder="1" applyAlignment="1" applyProtection="1">
      <alignment horizontal="center" vertical="center"/>
      <protection hidden="1"/>
    </xf>
    <xf numFmtId="1" fontId="24" fillId="15" borderId="38" xfId="0" applyNumberFormat="1" applyFont="1" applyFill="1" applyBorder="1" applyAlignment="1" applyProtection="1">
      <alignment horizontal="center" vertical="center"/>
      <protection hidden="1"/>
    </xf>
    <xf numFmtId="1" fontId="24" fillId="15" borderId="39" xfId="0" applyNumberFormat="1" applyFont="1" applyFill="1" applyBorder="1" applyAlignment="1" applyProtection="1">
      <alignment horizontal="center" vertical="center"/>
      <protection hidden="1"/>
    </xf>
    <xf numFmtId="1" fontId="24" fillId="15" borderId="43" xfId="0" applyNumberFormat="1" applyFont="1" applyFill="1" applyBorder="1" applyAlignment="1" applyProtection="1">
      <alignment horizontal="center" vertical="center"/>
      <protection hidden="1"/>
    </xf>
    <xf numFmtId="1" fontId="24" fillId="15" borderId="40" xfId="0" applyNumberFormat="1" applyFont="1" applyFill="1" applyBorder="1" applyAlignment="1" applyProtection="1">
      <alignment horizontal="center" vertical="center"/>
      <protection hidden="1"/>
    </xf>
    <xf numFmtId="1" fontId="24" fillId="15" borderId="36" xfId="0" applyNumberFormat="1" applyFont="1" applyFill="1" applyBorder="1" applyAlignment="1" applyProtection="1">
      <alignment horizontal="center" vertical="center"/>
      <protection hidden="1"/>
    </xf>
    <xf numFmtId="166" fontId="27" fillId="15" borderId="36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wrapText="1"/>
      <protection hidden="1"/>
    </xf>
    <xf numFmtId="0" fontId="23" fillId="0" borderId="0" xfId="0" applyFont="1" applyAlignment="1" applyProtection="1"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15" borderId="36" xfId="0" applyFont="1" applyFill="1" applyBorder="1"/>
    <xf numFmtId="0" fontId="25" fillId="0" borderId="0" xfId="0" applyFont="1" applyFill="1" applyBorder="1" applyAlignment="1">
      <alignment vertical="center"/>
    </xf>
    <xf numFmtId="0" fontId="26" fillId="15" borderId="36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>
      <alignment horizontal="center" vertical="center"/>
    </xf>
    <xf numFmtId="0" fontId="21" fillId="15" borderId="19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1" fillId="15" borderId="19" xfId="0" quotePrefix="1" applyNumberFormat="1" applyFont="1" applyFill="1" applyBorder="1" applyAlignment="1">
      <alignment horizontal="center" vertical="center"/>
    </xf>
    <xf numFmtId="0" fontId="21" fillId="4" borderId="19" xfId="0" quotePrefix="1" applyNumberFormat="1" applyFont="1" applyFill="1" applyBorder="1" applyAlignment="1">
      <alignment horizontal="center" vertical="center"/>
    </xf>
    <xf numFmtId="0" fontId="21" fillId="21" borderId="19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164" fontId="21" fillId="11" borderId="47" xfId="0" applyNumberFormat="1" applyFont="1" applyFill="1" applyBorder="1" applyAlignment="1">
      <alignment horizontal="center" vertical="center"/>
    </xf>
    <xf numFmtId="164" fontId="21" fillId="15" borderId="47" xfId="0" applyNumberFormat="1" applyFont="1" applyFill="1" applyBorder="1" applyAlignment="1">
      <alignment horizontal="center" vertical="center"/>
    </xf>
    <xf numFmtId="164" fontId="21" fillId="9" borderId="47" xfId="0" applyNumberFormat="1" applyFont="1" applyFill="1" applyBorder="1" applyAlignment="1">
      <alignment horizontal="center" vertical="center"/>
    </xf>
    <xf numFmtId="164" fontId="21" fillId="4" borderId="47" xfId="0" applyNumberFormat="1" applyFont="1" applyFill="1" applyBorder="1" applyAlignment="1">
      <alignment horizontal="center" vertical="center"/>
    </xf>
    <xf numFmtId="164" fontId="21" fillId="21" borderId="47" xfId="0" applyNumberFormat="1" applyFont="1" applyFill="1" applyBorder="1" applyAlignment="1">
      <alignment horizontal="center" vertical="center"/>
    </xf>
    <xf numFmtId="164" fontId="21" fillId="3" borderId="47" xfId="0" applyNumberFormat="1" applyFont="1" applyFill="1" applyBorder="1" applyAlignment="1">
      <alignment horizontal="center" vertical="center"/>
    </xf>
    <xf numFmtId="170" fontId="21" fillId="15" borderId="68" xfId="0" applyNumberFormat="1" applyFont="1" applyFill="1" applyBorder="1" applyAlignment="1">
      <alignment horizontal="center" vertical="center"/>
    </xf>
    <xf numFmtId="166" fontId="21" fillId="5" borderId="56" xfId="0" applyNumberFormat="1" applyFont="1" applyFill="1" applyBorder="1" applyAlignment="1">
      <alignment horizontal="center" vertical="center"/>
    </xf>
    <xf numFmtId="166" fontId="21" fillId="15" borderId="54" xfId="0" applyNumberFormat="1" applyFont="1" applyFill="1" applyBorder="1" applyAlignment="1">
      <alignment horizontal="center" vertical="center"/>
    </xf>
    <xf numFmtId="166" fontId="21" fillId="5" borderId="54" xfId="0" applyNumberFormat="1" applyFont="1" applyFill="1" applyBorder="1" applyAlignment="1">
      <alignment horizontal="center" vertical="center"/>
    </xf>
    <xf numFmtId="176" fontId="21" fillId="5" borderId="55" xfId="0" applyNumberFormat="1" applyFont="1" applyFill="1" applyBorder="1" applyAlignment="1">
      <alignment horizontal="center" vertical="center"/>
    </xf>
    <xf numFmtId="0" fontId="24" fillId="0" borderId="7" xfId="0" applyFont="1" applyFill="1" applyBorder="1"/>
    <xf numFmtId="0" fontId="23" fillId="0" borderId="36" xfId="0" applyFont="1" applyFill="1" applyBorder="1" applyAlignment="1" applyProtection="1">
      <alignment horizontal="center" vertical="center" wrapText="1"/>
      <protection hidden="1"/>
    </xf>
    <xf numFmtId="166" fontId="27" fillId="0" borderId="36" xfId="0" applyNumberFormat="1" applyFont="1" applyFill="1" applyBorder="1" applyAlignment="1" applyProtection="1">
      <alignment horizontal="center" vertical="center"/>
      <protection hidden="1"/>
    </xf>
    <xf numFmtId="0" fontId="26" fillId="15" borderId="36" xfId="0" applyFont="1" applyFill="1" applyBorder="1" applyAlignment="1" applyProtection="1">
      <alignment horizontal="center" vertical="center"/>
      <protection hidden="1"/>
    </xf>
    <xf numFmtId="0" fontId="24" fillId="15" borderId="0" xfId="0" applyFont="1" applyFill="1" applyBorder="1"/>
    <xf numFmtId="0" fontId="18" fillId="21" borderId="82" xfId="0" applyFont="1" applyFill="1" applyBorder="1" applyAlignment="1" applyProtection="1">
      <alignment horizontal="center" vertical="center"/>
      <protection locked="0"/>
    </xf>
    <xf numFmtId="0" fontId="18" fillId="0" borderId="82" xfId="0" applyFont="1" applyBorder="1" applyAlignment="1" applyProtection="1">
      <alignment horizontal="center" vertical="center"/>
      <protection locked="0"/>
    </xf>
    <xf numFmtId="0" fontId="18" fillId="0" borderId="83" xfId="0" applyFont="1" applyBorder="1" applyAlignment="1" applyProtection="1">
      <alignment horizontal="center" vertical="center"/>
      <protection locked="0"/>
    </xf>
    <xf numFmtId="0" fontId="18" fillId="0" borderId="84" xfId="0" applyFont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168" fontId="24" fillId="0" borderId="0" xfId="0" applyNumberFormat="1" applyFont="1" applyFill="1" applyBorder="1" applyAlignment="1">
      <alignment horizontal="center" vertical="center"/>
    </xf>
    <xf numFmtId="0" fontId="21" fillId="17" borderId="3" xfId="0" applyFont="1" applyFill="1" applyBorder="1" applyAlignment="1">
      <alignment horizontal="center" vertical="center"/>
    </xf>
    <xf numFmtId="164" fontId="18" fillId="17" borderId="54" xfId="0" applyNumberFormat="1" applyFont="1" applyFill="1" applyBorder="1" applyAlignment="1" applyProtection="1">
      <alignment horizontal="center" vertical="center"/>
      <protection locked="0"/>
    </xf>
    <xf numFmtId="164" fontId="18" fillId="17" borderId="57" xfId="0" applyNumberFormat="1" applyFont="1" applyFill="1" applyBorder="1" applyAlignment="1" applyProtection="1">
      <alignment horizontal="center" vertical="center"/>
      <protection locked="0"/>
    </xf>
    <xf numFmtId="0" fontId="31" fillId="32" borderId="21" xfId="0" applyFont="1" applyFill="1" applyBorder="1" applyAlignment="1">
      <alignment horizontal="center" vertical="center"/>
    </xf>
    <xf numFmtId="164" fontId="29" fillId="32" borderId="16" xfId="0" applyNumberFormat="1" applyFont="1" applyFill="1" applyBorder="1" applyAlignment="1" applyProtection="1">
      <alignment horizontal="center" vertical="center"/>
      <protection locked="0"/>
    </xf>
    <xf numFmtId="164" fontId="29" fillId="32" borderId="72" xfId="0" applyNumberFormat="1" applyFont="1" applyFill="1" applyBorder="1" applyAlignment="1" applyProtection="1">
      <alignment horizontal="center" vertical="center"/>
      <protection locked="0"/>
    </xf>
    <xf numFmtId="164" fontId="18" fillId="15" borderId="64" xfId="0" applyNumberFormat="1" applyFont="1" applyFill="1" applyBorder="1" applyAlignment="1">
      <alignment horizontal="center" vertical="center"/>
    </xf>
    <xf numFmtId="0" fontId="18" fillId="15" borderId="64" xfId="0" applyFont="1" applyFill="1" applyBorder="1" applyAlignment="1">
      <alignment horizontal="center" vertical="center"/>
    </xf>
    <xf numFmtId="164" fontId="18" fillId="11" borderId="47" xfId="0" applyNumberFormat="1" applyFont="1" applyFill="1" applyBorder="1" applyAlignment="1" applyProtection="1">
      <alignment horizontal="center" vertical="center"/>
      <protection locked="0"/>
    </xf>
    <xf numFmtId="164" fontId="18" fillId="11" borderId="22" xfId="0" applyNumberFormat="1" applyFont="1" applyFill="1" applyBorder="1" applyAlignment="1" applyProtection="1">
      <alignment horizontal="center" vertical="center"/>
      <protection locked="0"/>
    </xf>
    <xf numFmtId="5" fontId="18" fillId="11" borderId="47" xfId="0" applyNumberFormat="1" applyFont="1" applyFill="1" applyBorder="1" applyAlignment="1" applyProtection="1">
      <alignment horizontal="center" vertical="center"/>
      <protection locked="0"/>
    </xf>
    <xf numFmtId="164" fontId="18" fillId="4" borderId="11" xfId="0" applyNumberFormat="1" applyFont="1" applyFill="1" applyBorder="1" applyAlignment="1" applyProtection="1">
      <alignment horizontal="center" vertical="center"/>
      <protection locked="0"/>
    </xf>
    <xf numFmtId="0" fontId="21" fillId="4" borderId="30" xfId="0" applyFont="1" applyFill="1" applyBorder="1" applyAlignment="1">
      <alignment horizontal="center" vertical="center"/>
    </xf>
    <xf numFmtId="0" fontId="21" fillId="21" borderId="85" xfId="0" applyFont="1" applyFill="1" applyBorder="1" applyAlignment="1">
      <alignment horizontal="center" vertical="center"/>
    </xf>
    <xf numFmtId="5" fontId="18" fillId="4" borderId="15" xfId="0" applyNumberFormat="1" applyFont="1" applyFill="1" applyBorder="1" applyAlignment="1" applyProtection="1">
      <alignment horizontal="center" vertical="center"/>
      <protection locked="0"/>
    </xf>
    <xf numFmtId="5" fontId="18" fillId="21" borderId="86" xfId="0" applyNumberFormat="1" applyFont="1" applyFill="1" applyBorder="1" applyAlignment="1" applyProtection="1">
      <alignment horizontal="center" vertical="center"/>
      <protection locked="0"/>
    </xf>
    <xf numFmtId="164" fontId="18" fillId="4" borderId="15" xfId="0" applyNumberFormat="1" applyFont="1" applyFill="1" applyBorder="1" applyAlignment="1" applyProtection="1">
      <alignment horizontal="center" vertical="center"/>
      <protection locked="0"/>
    </xf>
    <xf numFmtId="164" fontId="18" fillId="21" borderId="86" xfId="0" applyNumberFormat="1" applyFont="1" applyFill="1" applyBorder="1" applyAlignment="1" applyProtection="1">
      <alignment horizontal="center" vertical="center"/>
      <protection locked="0"/>
    </xf>
    <xf numFmtId="164" fontId="18" fillId="15" borderId="81" xfId="0" applyNumberFormat="1" applyFont="1" applyFill="1" applyBorder="1" applyAlignment="1">
      <alignment horizontal="center" vertical="center"/>
    </xf>
    <xf numFmtId="164" fontId="18" fillId="4" borderId="55" xfId="0" applyNumberFormat="1" applyFont="1" applyFill="1" applyBorder="1" applyAlignment="1" applyProtection="1">
      <alignment horizontal="center" vertical="center"/>
      <protection locked="0"/>
    </xf>
    <xf numFmtId="169" fontId="18" fillId="4" borderId="15" xfId="0" applyNumberFormat="1" applyFont="1" applyFill="1" applyBorder="1" applyAlignment="1" applyProtection="1">
      <alignment horizontal="center" vertical="center"/>
      <protection locked="0"/>
    </xf>
    <xf numFmtId="169" fontId="18" fillId="21" borderId="86" xfId="0" applyNumberFormat="1" applyFont="1" applyFill="1" applyBorder="1" applyAlignment="1" applyProtection="1">
      <alignment horizontal="center" vertical="center"/>
      <protection locked="0"/>
    </xf>
    <xf numFmtId="171" fontId="18" fillId="4" borderId="73" xfId="0" applyNumberFormat="1" applyFont="1" applyFill="1" applyBorder="1" applyAlignment="1" applyProtection="1">
      <alignment horizontal="center" vertical="center"/>
      <protection locked="0"/>
    </xf>
    <xf numFmtId="171" fontId="18" fillId="21" borderId="87" xfId="0" applyNumberFormat="1" applyFont="1" applyFill="1" applyBorder="1" applyAlignment="1" applyProtection="1">
      <alignment horizontal="center" vertical="center"/>
      <protection locked="0"/>
    </xf>
    <xf numFmtId="171" fontId="18" fillId="4" borderId="87" xfId="0" applyNumberFormat="1" applyFont="1" applyFill="1" applyBorder="1" applyAlignment="1" applyProtection="1">
      <alignment horizontal="center" vertical="center"/>
      <protection locked="0"/>
    </xf>
    <xf numFmtId="164" fontId="18" fillId="4" borderId="86" xfId="0" applyNumberFormat="1" applyFont="1" applyFill="1" applyBorder="1" applyAlignment="1" applyProtection="1">
      <alignment horizontal="center" vertical="center"/>
      <protection locked="0"/>
    </xf>
    <xf numFmtId="5" fontId="18" fillId="4" borderId="86" xfId="0" applyNumberFormat="1" applyFont="1" applyFill="1" applyBorder="1" applyAlignment="1" applyProtection="1">
      <alignment horizontal="center" vertical="center"/>
      <protection locked="0"/>
    </xf>
    <xf numFmtId="0" fontId="21" fillId="4" borderId="85" xfId="0" applyFont="1" applyFill="1" applyBorder="1" applyAlignment="1">
      <alignment horizontal="center" vertical="center"/>
    </xf>
    <xf numFmtId="164" fontId="18" fillId="17" borderId="86" xfId="0" applyNumberFormat="1" applyFont="1" applyFill="1" applyBorder="1" applyAlignment="1" applyProtection="1">
      <alignment horizontal="center" vertical="center"/>
      <protection locked="0"/>
    </xf>
    <xf numFmtId="164" fontId="18" fillId="15" borderId="88" xfId="0" applyNumberFormat="1" applyFont="1" applyFill="1" applyBorder="1" applyAlignment="1">
      <alignment horizontal="center" vertical="center"/>
    </xf>
    <xf numFmtId="171" fontId="18" fillId="21" borderId="73" xfId="0" applyNumberFormat="1" applyFont="1" applyFill="1" applyBorder="1" applyAlignment="1" applyProtection="1">
      <alignment horizontal="center" vertical="center"/>
      <protection locked="0"/>
    </xf>
    <xf numFmtId="5" fontId="18" fillId="17" borderId="81" xfId="0" applyNumberFormat="1" applyFont="1" applyFill="1" applyBorder="1" applyAlignment="1" applyProtection="1">
      <alignment horizontal="center" vertical="center"/>
      <protection locked="0"/>
    </xf>
    <xf numFmtId="164" fontId="18" fillId="17" borderId="81" xfId="0" applyNumberFormat="1" applyFont="1" applyFill="1" applyBorder="1" applyAlignment="1" applyProtection="1">
      <alignment horizontal="center" vertical="center"/>
      <protection locked="0"/>
    </xf>
    <xf numFmtId="164" fontId="29" fillId="15" borderId="81" xfId="0" applyNumberFormat="1" applyFont="1" applyFill="1" applyBorder="1" applyAlignment="1">
      <alignment horizontal="center" vertical="center"/>
    </xf>
    <xf numFmtId="164" fontId="29" fillId="3" borderId="54" xfId="0" applyNumberFormat="1" applyFont="1" applyFill="1" applyBorder="1" applyAlignment="1" applyProtection="1">
      <alignment horizontal="center" vertical="center"/>
      <protection locked="0"/>
    </xf>
    <xf numFmtId="164" fontId="29" fillId="3" borderId="47" xfId="0" applyNumberFormat="1" applyFont="1" applyFill="1" applyBorder="1" applyAlignment="1" applyProtection="1">
      <alignment horizontal="center" vertical="center"/>
      <protection locked="0"/>
    </xf>
    <xf numFmtId="164" fontId="29" fillId="3" borderId="81" xfId="0" applyNumberFormat="1" applyFont="1" applyFill="1" applyBorder="1" applyAlignment="1" applyProtection="1">
      <alignment horizontal="center" vertical="center"/>
      <protection locked="0"/>
    </xf>
    <xf numFmtId="164" fontId="18" fillId="32" borderId="81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ill="1" applyBorder="1"/>
    <xf numFmtId="164" fontId="18" fillId="15" borderId="18" xfId="0" applyNumberFormat="1" applyFont="1" applyFill="1" applyBorder="1" applyAlignment="1">
      <alignment horizontal="center" vertical="center"/>
    </xf>
    <xf numFmtId="164" fontId="29" fillId="15" borderId="18" xfId="0" applyNumberFormat="1" applyFont="1" applyFill="1" applyBorder="1" applyAlignment="1">
      <alignment horizontal="center" vertical="center"/>
    </xf>
    <xf numFmtId="169" fontId="18" fillId="17" borderId="81" xfId="0" applyNumberFormat="1" applyFont="1" applyFill="1" applyBorder="1" applyAlignment="1" applyProtection="1">
      <alignment horizontal="center" vertical="center"/>
      <protection locked="0"/>
    </xf>
    <xf numFmtId="169" fontId="29" fillId="3" borderId="81" xfId="0" applyNumberFormat="1" applyFont="1" applyFill="1" applyBorder="1" applyAlignment="1" applyProtection="1">
      <alignment horizontal="center" vertical="center"/>
      <protection locked="0"/>
    </xf>
    <xf numFmtId="169" fontId="18" fillId="32" borderId="86" xfId="0" applyNumberFormat="1" applyFont="1" applyFill="1" applyBorder="1" applyAlignment="1" applyProtection="1">
      <alignment horizontal="center" vertical="center"/>
      <protection locked="0"/>
    </xf>
    <xf numFmtId="171" fontId="18" fillId="32" borderId="87" xfId="0" applyNumberFormat="1" applyFont="1" applyFill="1" applyBorder="1" applyAlignment="1" applyProtection="1">
      <alignment horizontal="center" vertical="center"/>
      <protection locked="0"/>
    </xf>
    <xf numFmtId="171" fontId="18" fillId="17" borderId="90" xfId="0" applyNumberFormat="1" applyFont="1" applyFill="1" applyBorder="1" applyAlignment="1" applyProtection="1">
      <alignment horizontal="center" vertical="center"/>
      <protection locked="0"/>
    </xf>
    <xf numFmtId="171" fontId="29" fillId="3" borderId="89" xfId="0" applyNumberFormat="1" applyFont="1" applyFill="1" applyBorder="1" applyAlignment="1" applyProtection="1">
      <alignment horizontal="center" vertical="center"/>
      <protection locked="0"/>
    </xf>
    <xf numFmtId="164" fontId="18" fillId="32" borderId="18" xfId="0" applyNumberFormat="1" applyFont="1" applyFill="1" applyBorder="1" applyAlignment="1" applyProtection="1">
      <alignment horizontal="center" vertical="center"/>
      <protection locked="0"/>
    </xf>
    <xf numFmtId="5" fontId="29" fillId="3" borderId="81" xfId="0" applyNumberFormat="1" applyFont="1" applyFill="1" applyBorder="1" applyAlignment="1" applyProtection="1">
      <alignment horizontal="center" vertical="center"/>
      <protection locked="0"/>
    </xf>
    <xf numFmtId="5" fontId="18" fillId="32" borderId="18" xfId="0" applyNumberFormat="1" applyFont="1" applyFill="1" applyBorder="1" applyAlignment="1" applyProtection="1">
      <alignment horizontal="center" vertical="center"/>
      <protection locked="0"/>
    </xf>
    <xf numFmtId="0" fontId="21" fillId="9" borderId="85" xfId="0" applyFont="1" applyFill="1" applyBorder="1" applyAlignment="1">
      <alignment horizontal="center" vertical="center"/>
    </xf>
    <xf numFmtId="5" fontId="18" fillId="9" borderId="86" xfId="0" applyNumberFormat="1" applyFont="1" applyFill="1" applyBorder="1" applyAlignment="1" applyProtection="1">
      <alignment horizontal="center" vertical="center"/>
      <protection locked="0"/>
    </xf>
    <xf numFmtId="164" fontId="18" fillId="9" borderId="86" xfId="0" applyNumberFormat="1" applyFont="1" applyFill="1" applyBorder="1" applyAlignment="1" applyProtection="1">
      <alignment horizontal="center" vertical="center"/>
      <protection locked="0"/>
    </xf>
    <xf numFmtId="169" fontId="18" fillId="9" borderId="86" xfId="0" applyNumberFormat="1" applyFont="1" applyFill="1" applyBorder="1" applyAlignment="1" applyProtection="1">
      <alignment horizontal="center" vertical="center"/>
      <protection locked="0"/>
    </xf>
    <xf numFmtId="171" fontId="18" fillId="9" borderId="87" xfId="0" applyNumberFormat="1" applyFont="1" applyFill="1" applyBorder="1" applyAlignment="1" applyProtection="1">
      <alignment horizontal="center" vertical="center"/>
      <protection locked="0"/>
    </xf>
    <xf numFmtId="164" fontId="18" fillId="9" borderId="47" xfId="0" applyNumberFormat="1" applyFont="1" applyFill="1" applyBorder="1" applyAlignment="1" applyProtection="1">
      <alignment horizontal="center" vertical="center"/>
      <protection locked="0"/>
    </xf>
    <xf numFmtId="164" fontId="18" fillId="9" borderId="15" xfId="0" applyNumberFormat="1" applyFont="1" applyFill="1" applyBorder="1" applyAlignment="1" applyProtection="1">
      <alignment horizontal="center" vertical="center"/>
      <protection locked="0"/>
    </xf>
    <xf numFmtId="169" fontId="18" fillId="9" borderId="55" xfId="0" applyNumberFormat="1" applyFont="1" applyFill="1" applyBorder="1" applyAlignment="1" applyProtection="1">
      <alignment horizontal="center" vertical="center"/>
      <protection locked="0"/>
    </xf>
    <xf numFmtId="171" fontId="18" fillId="9" borderId="73" xfId="0" applyNumberFormat="1" applyFont="1" applyFill="1" applyBorder="1" applyAlignment="1" applyProtection="1">
      <alignment horizontal="center" vertical="center"/>
      <protection locked="0"/>
    </xf>
    <xf numFmtId="0" fontId="21" fillId="9" borderId="30" xfId="0" applyFont="1" applyFill="1" applyBorder="1" applyAlignment="1">
      <alignment horizontal="center" vertical="center"/>
    </xf>
    <xf numFmtId="5" fontId="18" fillId="9" borderId="47" xfId="0" applyNumberFormat="1" applyFont="1" applyFill="1" applyBorder="1" applyAlignment="1" applyProtection="1">
      <alignment horizontal="center" vertical="center"/>
      <protection locked="0"/>
    </xf>
    <xf numFmtId="0" fontId="21" fillId="11" borderId="2" xfId="0" applyFont="1" applyFill="1" applyBorder="1" applyAlignment="1">
      <alignment horizontal="center" vertical="center"/>
    </xf>
    <xf numFmtId="5" fontId="18" fillId="11" borderId="64" xfId="0" applyNumberFormat="1" applyFont="1" applyFill="1" applyBorder="1" applyAlignment="1" applyProtection="1">
      <alignment horizontal="center" vertical="center"/>
      <protection locked="0"/>
    </xf>
    <xf numFmtId="164" fontId="18" fillId="11" borderId="64" xfId="0" applyNumberFormat="1" applyFont="1" applyFill="1" applyBorder="1" applyAlignment="1" applyProtection="1">
      <alignment horizontal="center" vertical="center"/>
      <protection locked="0"/>
    </xf>
    <xf numFmtId="0" fontId="21" fillId="11" borderId="71" xfId="0" applyFont="1" applyFill="1" applyBorder="1" applyAlignment="1">
      <alignment horizontal="center" vertical="center"/>
    </xf>
    <xf numFmtId="169" fontId="18" fillId="11" borderId="64" xfId="0" applyNumberFormat="1" applyFont="1" applyFill="1" applyBorder="1" applyAlignment="1" applyProtection="1">
      <alignment horizontal="center" vertical="center"/>
      <protection locked="0"/>
    </xf>
    <xf numFmtId="171" fontId="18" fillId="11" borderId="60" xfId="0" applyNumberFormat="1" applyFont="1" applyFill="1" applyBorder="1" applyAlignment="1" applyProtection="1">
      <alignment horizontal="center" vertical="center"/>
      <protection locked="0"/>
    </xf>
    <xf numFmtId="169" fontId="18" fillId="11" borderId="22" xfId="0" applyNumberFormat="1" applyFont="1" applyFill="1" applyBorder="1" applyAlignment="1" applyProtection="1">
      <alignment horizontal="center" vertical="center"/>
      <protection locked="0"/>
    </xf>
    <xf numFmtId="171" fontId="18" fillId="11" borderId="57" xfId="0" applyNumberFormat="1" applyFont="1" applyFill="1" applyBorder="1" applyAlignment="1" applyProtection="1">
      <alignment horizontal="center" vertical="center"/>
      <protection locked="0"/>
    </xf>
    <xf numFmtId="169" fontId="18" fillId="11" borderId="47" xfId="0" applyNumberFormat="1" applyFont="1" applyFill="1" applyBorder="1" applyAlignment="1" applyProtection="1">
      <alignment horizontal="center" vertical="center"/>
      <protection locked="0"/>
    </xf>
    <xf numFmtId="171" fontId="18" fillId="11" borderId="73" xfId="0" applyNumberFormat="1" applyFont="1" applyFill="1" applyBorder="1" applyAlignment="1" applyProtection="1">
      <alignment horizontal="center" vertical="center"/>
      <protection locked="0"/>
    </xf>
    <xf numFmtId="164" fontId="18" fillId="11" borderId="62" xfId="0" applyNumberFormat="1" applyFont="1" applyFill="1" applyBorder="1" applyAlignment="1" applyProtection="1">
      <alignment horizontal="center" vertical="center"/>
      <protection locked="0"/>
    </xf>
    <xf numFmtId="164" fontId="18" fillId="11" borderId="60" xfId="0" applyNumberFormat="1" applyFont="1" applyFill="1" applyBorder="1" applyAlignment="1" applyProtection="1">
      <alignment horizontal="center" vertical="center"/>
      <protection locked="0"/>
    </xf>
    <xf numFmtId="0" fontId="18" fillId="11" borderId="82" xfId="0" applyFont="1" applyFill="1" applyBorder="1" applyAlignment="1" applyProtection="1">
      <alignment horizontal="center" vertical="center"/>
      <protection locked="0"/>
    </xf>
    <xf numFmtId="5" fontId="18" fillId="11" borderId="61" xfId="0" applyNumberFormat="1" applyFont="1" applyFill="1" applyBorder="1" applyAlignment="1" applyProtection="1">
      <alignment horizontal="center" vertical="center"/>
      <protection locked="0"/>
    </xf>
    <xf numFmtId="5" fontId="18" fillId="11" borderId="62" xfId="0" applyNumberFormat="1" applyFont="1" applyFill="1" applyBorder="1" applyAlignment="1" applyProtection="1">
      <alignment horizontal="center" vertical="center"/>
      <protection locked="0"/>
    </xf>
    <xf numFmtId="166" fontId="18" fillId="11" borderId="62" xfId="0" applyNumberFormat="1" applyFont="1" applyFill="1" applyBorder="1" applyAlignment="1" applyProtection="1">
      <alignment horizontal="center" vertical="center"/>
      <protection locked="0"/>
    </xf>
    <xf numFmtId="0" fontId="18" fillId="11" borderId="62" xfId="0" applyFont="1" applyFill="1" applyBorder="1" applyAlignment="1" applyProtection="1">
      <alignment horizontal="center" vertical="center"/>
      <protection locked="0"/>
    </xf>
    <xf numFmtId="167" fontId="18" fillId="11" borderId="62" xfId="0" applyNumberFormat="1" applyFont="1" applyFill="1" applyBorder="1" applyAlignment="1" applyProtection="1">
      <alignment horizontal="center" vertical="center"/>
      <protection locked="0"/>
    </xf>
    <xf numFmtId="164" fontId="29" fillId="11" borderId="60" xfId="0" applyNumberFormat="1" applyFont="1" applyFill="1" applyBorder="1" applyAlignment="1" applyProtection="1">
      <alignment horizontal="center" vertical="center"/>
      <protection locked="0"/>
    </xf>
    <xf numFmtId="164" fontId="18" fillId="33" borderId="67" xfId="0" applyNumberFormat="1" applyFont="1" applyFill="1" applyBorder="1" applyAlignment="1" applyProtection="1">
      <alignment horizontal="center" vertical="center"/>
      <protection locked="0"/>
    </xf>
    <xf numFmtId="166" fontId="18" fillId="33" borderId="67" xfId="0" applyNumberFormat="1" applyFont="1" applyFill="1" applyBorder="1" applyAlignment="1" applyProtection="1">
      <alignment horizontal="center" vertical="center"/>
      <protection locked="0"/>
    </xf>
    <xf numFmtId="0" fontId="18" fillId="33" borderId="67" xfId="0" applyNumberFormat="1" applyFont="1" applyFill="1" applyBorder="1" applyAlignment="1" applyProtection="1">
      <alignment horizontal="center" vertical="center"/>
      <protection locked="0"/>
    </xf>
    <xf numFmtId="167" fontId="18" fillId="33" borderId="67" xfId="0" applyNumberFormat="1" applyFont="1" applyFill="1" applyBorder="1" applyAlignment="1" applyProtection="1">
      <alignment horizontal="center" vertical="center"/>
      <protection locked="0"/>
    </xf>
    <xf numFmtId="0" fontId="18" fillId="33" borderId="91" xfId="0" applyFont="1" applyFill="1" applyBorder="1" applyAlignment="1" applyProtection="1">
      <alignment horizontal="center" vertical="center"/>
      <protection locked="0"/>
    </xf>
    <xf numFmtId="164" fontId="18" fillId="33" borderId="68" xfId="0" applyNumberFormat="1" applyFont="1" applyFill="1" applyBorder="1" applyAlignment="1" applyProtection="1">
      <alignment horizontal="center" vertical="center"/>
      <protection locked="0"/>
    </xf>
    <xf numFmtId="166" fontId="18" fillId="33" borderId="68" xfId="0" applyNumberFormat="1" applyFont="1" applyFill="1" applyBorder="1" applyAlignment="1" applyProtection="1">
      <alignment horizontal="center" vertical="center"/>
      <protection locked="0"/>
    </xf>
    <xf numFmtId="164" fontId="18" fillId="33" borderId="66" xfId="0" applyNumberFormat="1" applyFont="1" applyFill="1" applyBorder="1" applyAlignment="1" applyProtection="1">
      <alignment horizontal="center" vertical="center"/>
      <protection locked="0"/>
    </xf>
    <xf numFmtId="0" fontId="18" fillId="25" borderId="5" xfId="0" applyFont="1" applyFill="1" applyBorder="1" applyAlignment="1" applyProtection="1">
      <alignment horizontal="center" vertical="center"/>
      <protection locked="0"/>
    </xf>
    <xf numFmtId="164" fontId="18" fillId="25" borderId="65" xfId="0" applyNumberFormat="1" applyFont="1" applyFill="1" applyBorder="1" applyAlignment="1" applyProtection="1">
      <alignment horizontal="center" vertical="center"/>
      <protection locked="0"/>
    </xf>
    <xf numFmtId="166" fontId="18" fillId="25" borderId="65" xfId="0" applyNumberFormat="1" applyFont="1" applyFill="1" applyBorder="1" applyAlignment="1" applyProtection="1">
      <alignment horizontal="center" vertical="center"/>
      <protection locked="0"/>
    </xf>
    <xf numFmtId="0" fontId="18" fillId="25" borderId="65" xfId="0" applyNumberFormat="1" applyFont="1" applyFill="1" applyBorder="1" applyAlignment="1" applyProtection="1">
      <alignment horizontal="center" vertical="center"/>
      <protection locked="0"/>
    </xf>
    <xf numFmtId="164" fontId="18" fillId="25" borderId="70" xfId="0" applyNumberFormat="1" applyFont="1" applyFill="1" applyBorder="1" applyAlignment="1" applyProtection="1">
      <alignment horizontal="center" vertical="center"/>
      <protection locked="0"/>
    </xf>
    <xf numFmtId="167" fontId="18" fillId="25" borderId="65" xfId="0" applyNumberFormat="1" applyFont="1" applyFill="1" applyBorder="1" applyAlignment="1" applyProtection="1">
      <alignment horizontal="center" vertical="center"/>
      <protection locked="0"/>
    </xf>
    <xf numFmtId="164" fontId="18" fillId="25" borderId="63" xfId="0" applyNumberFormat="1" applyFont="1" applyFill="1" applyBorder="1" applyAlignment="1" applyProtection="1">
      <alignment horizontal="center" vertical="center"/>
      <protection locked="0"/>
    </xf>
    <xf numFmtId="0" fontId="18" fillId="33" borderId="93" xfId="0" applyFont="1" applyFill="1" applyBorder="1" applyAlignment="1" applyProtection="1">
      <alignment horizontal="center" vertical="center"/>
      <protection locked="0"/>
    </xf>
    <xf numFmtId="164" fontId="18" fillId="33" borderId="94" xfId="0" applyNumberFormat="1" applyFont="1" applyFill="1" applyBorder="1" applyAlignment="1" applyProtection="1">
      <alignment horizontal="center" vertical="center"/>
      <protection locked="0"/>
    </xf>
    <xf numFmtId="166" fontId="18" fillId="33" borderId="94" xfId="0" applyNumberFormat="1" applyFont="1" applyFill="1" applyBorder="1" applyAlignment="1" applyProtection="1">
      <alignment horizontal="center" vertical="center"/>
      <protection locked="0"/>
    </xf>
    <xf numFmtId="0" fontId="18" fillId="33" borderId="94" xfId="0" applyNumberFormat="1" applyFont="1" applyFill="1" applyBorder="1" applyAlignment="1" applyProtection="1">
      <alignment horizontal="center" vertical="center"/>
      <protection locked="0"/>
    </xf>
    <xf numFmtId="167" fontId="18" fillId="33" borderId="95" xfId="0" applyNumberFormat="1" applyFont="1" applyFill="1" applyBorder="1" applyAlignment="1" applyProtection="1">
      <alignment horizontal="center" vertical="center"/>
      <protection locked="0"/>
    </xf>
    <xf numFmtId="164" fontId="18" fillId="33" borderId="96" xfId="0" applyNumberFormat="1" applyFont="1" applyFill="1" applyBorder="1" applyAlignment="1" applyProtection="1">
      <alignment horizontal="center" vertical="center"/>
      <protection locked="0"/>
    </xf>
    <xf numFmtId="0" fontId="18" fillId="0" borderId="97" xfId="0" applyFont="1" applyBorder="1" applyAlignment="1" applyProtection="1">
      <alignment horizontal="center" vertical="center"/>
      <protection locked="0"/>
    </xf>
    <xf numFmtId="164" fontId="18" fillId="0" borderId="94" xfId="0" applyNumberFormat="1" applyFont="1" applyBorder="1" applyAlignment="1" applyProtection="1">
      <alignment horizontal="center" vertical="center"/>
      <protection locked="0"/>
    </xf>
    <xf numFmtId="164" fontId="18" fillId="0" borderId="95" xfId="0" applyNumberFormat="1" applyFont="1" applyBorder="1" applyAlignment="1" applyProtection="1">
      <alignment horizontal="center" vertical="center"/>
      <protection locked="0"/>
    </xf>
    <xf numFmtId="166" fontId="18" fillId="0" borderId="95" xfId="0" applyNumberFormat="1" applyFont="1" applyBorder="1" applyAlignment="1" applyProtection="1">
      <alignment horizontal="center" vertical="center"/>
      <protection locked="0"/>
    </xf>
    <xf numFmtId="0" fontId="18" fillId="0" borderId="95" xfId="0" applyFont="1" applyBorder="1" applyAlignment="1" applyProtection="1">
      <alignment horizontal="center" vertical="center"/>
      <protection locked="0"/>
    </xf>
    <xf numFmtId="0" fontId="18" fillId="0" borderId="94" xfId="0" applyFont="1" applyBorder="1" applyAlignment="1" applyProtection="1">
      <alignment horizontal="center" vertical="center"/>
      <protection locked="0"/>
    </xf>
    <xf numFmtId="167" fontId="18" fillId="0" borderId="94" xfId="0" applyNumberFormat="1" applyFont="1" applyBorder="1" applyAlignment="1" applyProtection="1">
      <alignment horizontal="center" vertical="center"/>
      <protection locked="0"/>
    </xf>
    <xf numFmtId="164" fontId="18" fillId="0" borderId="98" xfId="0" applyNumberFormat="1" applyFont="1" applyBorder="1" applyAlignment="1" applyProtection="1">
      <alignment horizontal="center" vertical="center"/>
      <protection locked="0"/>
    </xf>
    <xf numFmtId="0" fontId="18" fillId="0" borderId="93" xfId="0" applyFont="1" applyBorder="1" applyAlignment="1" applyProtection="1">
      <alignment horizontal="center" vertical="center"/>
      <protection locked="0"/>
    </xf>
    <xf numFmtId="0" fontId="18" fillId="0" borderId="92" xfId="0" applyFont="1" applyBorder="1" applyAlignment="1" applyProtection="1">
      <alignment horizontal="center" vertical="center"/>
      <protection locked="0"/>
    </xf>
    <xf numFmtId="5" fontId="18" fillId="0" borderId="95" xfId="1" applyNumberFormat="1" applyFont="1" applyBorder="1" applyAlignment="1" applyProtection="1">
      <alignment horizontal="center" vertical="center"/>
      <protection locked="0"/>
    </xf>
    <xf numFmtId="167" fontId="18" fillId="0" borderId="95" xfId="0" applyNumberFormat="1" applyFont="1" applyBorder="1" applyAlignment="1" applyProtection="1">
      <alignment horizontal="center" vertical="center"/>
      <protection locked="0"/>
    </xf>
    <xf numFmtId="164" fontId="29" fillId="0" borderId="98" xfId="0" applyNumberFormat="1" applyFont="1" applyBorder="1" applyAlignment="1" applyProtection="1">
      <alignment horizontal="center" vertical="center"/>
      <protection locked="0"/>
    </xf>
    <xf numFmtId="1" fontId="18" fillId="3" borderId="69" xfId="0" applyNumberFormat="1" applyFont="1" applyFill="1" applyBorder="1" applyAlignment="1" applyProtection="1">
      <alignment horizontal="center" vertical="center"/>
      <protection locked="0"/>
    </xf>
    <xf numFmtId="0" fontId="18" fillId="3" borderId="69" xfId="0" applyFont="1" applyFill="1" applyBorder="1" applyAlignment="1" applyProtection="1">
      <alignment horizontal="center" vertical="center"/>
      <protection locked="0"/>
    </xf>
    <xf numFmtId="0" fontId="18" fillId="13" borderId="2" xfId="0" applyFont="1" applyFill="1" applyBorder="1" applyAlignment="1" applyProtection="1">
      <alignment horizontal="center" vertical="center"/>
      <protection locked="0"/>
    </xf>
    <xf numFmtId="0" fontId="18" fillId="13" borderId="3" xfId="0" applyFont="1" applyFill="1" applyBorder="1" applyAlignment="1" applyProtection="1">
      <alignment horizontal="center" vertical="center"/>
      <protection locked="0"/>
    </xf>
    <xf numFmtId="0" fontId="18" fillId="26" borderId="2" xfId="0" applyFont="1" applyFill="1" applyBorder="1" applyAlignment="1" applyProtection="1">
      <alignment horizontal="center" vertical="center"/>
      <protection locked="0"/>
    </xf>
    <xf numFmtId="0" fontId="18" fillId="26" borderId="3" xfId="0" applyFont="1" applyFill="1" applyBorder="1" applyAlignment="1" applyProtection="1">
      <alignment horizontal="center" vertical="center"/>
      <protection locked="0"/>
    </xf>
    <xf numFmtId="1" fontId="18" fillId="29" borderId="69" xfId="0" applyNumberFormat="1" applyFont="1" applyFill="1" applyBorder="1" applyAlignment="1" applyProtection="1">
      <alignment horizontal="center" vertical="center"/>
      <protection locked="0"/>
    </xf>
    <xf numFmtId="0" fontId="18" fillId="29" borderId="69" xfId="0" applyFont="1" applyFill="1" applyBorder="1" applyAlignment="1" applyProtection="1">
      <alignment horizontal="center" vertical="center"/>
      <protection locked="0"/>
    </xf>
    <xf numFmtId="166" fontId="18" fillId="29" borderId="69" xfId="0" applyNumberFormat="1" applyFont="1" applyFill="1" applyBorder="1" applyAlignment="1" applyProtection="1">
      <alignment horizontal="center" vertical="center"/>
      <protection locked="0"/>
    </xf>
    <xf numFmtId="1" fontId="18" fillId="29" borderId="22" xfId="0" applyNumberFormat="1" applyFont="1" applyFill="1" applyBorder="1" applyAlignment="1" applyProtection="1">
      <alignment horizontal="center"/>
      <protection locked="0"/>
    </xf>
    <xf numFmtId="0" fontId="18" fillId="29" borderId="22" xfId="0" applyFont="1" applyFill="1" applyBorder="1" applyAlignment="1" applyProtection="1">
      <alignment horizontal="center" vertical="center"/>
      <protection locked="0"/>
    </xf>
    <xf numFmtId="166" fontId="18" fillId="29" borderId="22" xfId="0" applyNumberFormat="1" applyFont="1" applyFill="1" applyBorder="1" applyAlignment="1" applyProtection="1">
      <alignment horizontal="center" vertical="center"/>
      <protection locked="0"/>
    </xf>
    <xf numFmtId="1" fontId="18" fillId="29" borderId="22" xfId="0" applyNumberFormat="1" applyFont="1" applyFill="1" applyBorder="1" applyAlignment="1" applyProtection="1">
      <alignment horizontal="center" vertical="center"/>
      <protection locked="0"/>
    </xf>
    <xf numFmtId="1" fontId="18" fillId="26" borderId="22" xfId="0" applyNumberFormat="1" applyFont="1" applyFill="1" applyBorder="1" applyAlignment="1" applyProtection="1">
      <alignment horizontal="center" vertical="center"/>
      <protection locked="0"/>
    </xf>
    <xf numFmtId="166" fontId="18" fillId="26" borderId="22" xfId="0" applyNumberFormat="1" applyFont="1" applyFill="1" applyBorder="1" applyAlignment="1" applyProtection="1">
      <alignment horizontal="center" vertical="center"/>
      <protection locked="0"/>
    </xf>
    <xf numFmtId="166" fontId="18" fillId="26" borderId="57" xfId="0" applyNumberFormat="1" applyFont="1" applyFill="1" applyBorder="1" applyAlignment="1" applyProtection="1">
      <alignment horizontal="center" vertical="center"/>
      <protection locked="0"/>
    </xf>
    <xf numFmtId="1" fontId="18" fillId="26" borderId="69" xfId="0" applyNumberFormat="1" applyFont="1" applyFill="1" applyBorder="1" applyAlignment="1" applyProtection="1">
      <alignment horizontal="center" vertical="center"/>
      <protection locked="0"/>
    </xf>
    <xf numFmtId="166" fontId="18" fillId="26" borderId="69" xfId="0" applyNumberFormat="1" applyFont="1" applyFill="1" applyBorder="1" applyAlignment="1" applyProtection="1">
      <alignment horizontal="center" vertical="center"/>
      <protection locked="0"/>
    </xf>
    <xf numFmtId="166" fontId="18" fillId="26" borderId="59" xfId="0" applyNumberFormat="1" applyFont="1" applyFill="1" applyBorder="1" applyAlignment="1" applyProtection="1">
      <alignment horizontal="center" vertical="center"/>
      <protection locked="0"/>
    </xf>
    <xf numFmtId="0" fontId="18" fillId="34" borderId="26" xfId="0" applyFont="1" applyFill="1" applyBorder="1" applyAlignment="1" applyProtection="1">
      <alignment horizontal="center" vertical="center"/>
      <protection locked="0"/>
    </xf>
    <xf numFmtId="0" fontId="18" fillId="34" borderId="3" xfId="0" applyFont="1" applyFill="1" applyBorder="1" applyAlignment="1" applyProtection="1">
      <alignment horizontal="center" vertical="center"/>
      <protection locked="0"/>
    </xf>
    <xf numFmtId="1" fontId="18" fillId="34" borderId="69" xfId="0" applyNumberFormat="1" applyFont="1" applyFill="1" applyBorder="1" applyAlignment="1" applyProtection="1">
      <alignment horizontal="center" vertical="center"/>
      <protection locked="0"/>
    </xf>
    <xf numFmtId="166" fontId="18" fillId="34" borderId="69" xfId="0" applyNumberFormat="1" applyFont="1" applyFill="1" applyBorder="1" applyAlignment="1" applyProtection="1">
      <alignment horizontal="center" vertical="center"/>
      <protection locked="0"/>
    </xf>
    <xf numFmtId="1" fontId="18" fillId="34" borderId="59" xfId="0" applyNumberFormat="1" applyFont="1" applyFill="1" applyBorder="1" applyAlignment="1" applyProtection="1">
      <alignment horizontal="center" vertical="center"/>
      <protection locked="0"/>
    </xf>
    <xf numFmtId="1" fontId="18" fillId="34" borderId="22" xfId="0" applyNumberFormat="1" applyFont="1" applyFill="1" applyBorder="1" applyAlignment="1" applyProtection="1">
      <alignment horizontal="center" vertical="center"/>
      <protection locked="0"/>
    </xf>
    <xf numFmtId="166" fontId="18" fillId="34" borderId="22" xfId="0" applyNumberFormat="1" applyFont="1" applyFill="1" applyBorder="1" applyAlignment="1" applyProtection="1">
      <alignment horizontal="center" vertical="center"/>
      <protection locked="0"/>
    </xf>
    <xf numFmtId="1" fontId="18" fillId="34" borderId="57" xfId="0" applyNumberFormat="1" applyFont="1" applyFill="1" applyBorder="1" applyAlignment="1" applyProtection="1">
      <alignment horizontal="center" vertical="center"/>
      <protection locked="0"/>
    </xf>
    <xf numFmtId="166" fontId="18" fillId="3" borderId="69" xfId="0" applyNumberFormat="1" applyFont="1" applyFill="1" applyBorder="1" applyAlignment="1" applyProtection="1">
      <alignment horizontal="center" vertical="center"/>
      <protection locked="0"/>
    </xf>
    <xf numFmtId="1" fontId="18" fillId="3" borderId="22" xfId="0" applyNumberFormat="1" applyFont="1" applyFill="1" applyBorder="1" applyAlignment="1" applyProtection="1">
      <alignment horizont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166" fontId="18" fillId="3" borderId="22" xfId="0" applyNumberFormat="1" applyFont="1" applyFill="1" applyBorder="1" applyAlignment="1" applyProtection="1">
      <alignment horizontal="center" vertical="center"/>
      <protection locked="0"/>
    </xf>
    <xf numFmtId="1" fontId="18" fillId="3" borderId="22" xfId="0" applyNumberFormat="1" applyFont="1" applyFill="1" applyBorder="1" applyAlignment="1" applyProtection="1">
      <alignment horizontal="center" vertical="center"/>
      <protection locked="0"/>
    </xf>
    <xf numFmtId="0" fontId="18" fillId="31" borderId="2" xfId="0" applyFont="1" applyFill="1" applyBorder="1" applyAlignment="1" applyProtection="1">
      <alignment horizontal="center" vertical="center"/>
      <protection locked="0"/>
    </xf>
    <xf numFmtId="1" fontId="18" fillId="31" borderId="69" xfId="0" applyNumberFormat="1" applyFont="1" applyFill="1" applyBorder="1" applyAlignment="1" applyProtection="1">
      <alignment horizontal="center" vertical="center"/>
      <protection locked="0"/>
    </xf>
    <xf numFmtId="166" fontId="18" fillId="31" borderId="69" xfId="0" applyNumberFormat="1" applyFont="1" applyFill="1" applyBorder="1" applyAlignment="1" applyProtection="1">
      <alignment horizontal="center" vertical="center"/>
      <protection locked="0"/>
    </xf>
    <xf numFmtId="166" fontId="18" fillId="31" borderId="59" xfId="0" applyNumberFormat="1" applyFont="1" applyFill="1" applyBorder="1" applyAlignment="1" applyProtection="1">
      <alignment horizontal="center" vertical="center"/>
      <protection locked="0"/>
    </xf>
    <xf numFmtId="1" fontId="18" fillId="31" borderId="22" xfId="0" applyNumberFormat="1" applyFont="1" applyFill="1" applyBorder="1" applyAlignment="1" applyProtection="1">
      <alignment horizontal="center" vertical="center"/>
      <protection locked="0"/>
    </xf>
    <xf numFmtId="166" fontId="18" fillId="31" borderId="22" xfId="0" applyNumberFormat="1" applyFont="1" applyFill="1" applyBorder="1" applyAlignment="1" applyProtection="1">
      <alignment horizontal="center" vertical="center"/>
      <protection locked="0"/>
    </xf>
    <xf numFmtId="166" fontId="18" fillId="31" borderId="57" xfId="0" applyNumberFormat="1" applyFont="1" applyFill="1" applyBorder="1" applyAlignment="1" applyProtection="1">
      <alignment horizontal="center" vertical="center"/>
      <protection locked="0"/>
    </xf>
    <xf numFmtId="0" fontId="18" fillId="27" borderId="2" xfId="0" applyFont="1" applyFill="1" applyBorder="1" applyAlignment="1" applyProtection="1">
      <alignment horizontal="center" vertical="center"/>
      <protection locked="0"/>
    </xf>
    <xf numFmtId="0" fontId="18" fillId="27" borderId="3" xfId="0" applyFont="1" applyFill="1" applyBorder="1" applyAlignment="1" applyProtection="1">
      <alignment horizontal="center" vertical="center"/>
      <protection locked="0"/>
    </xf>
    <xf numFmtId="0" fontId="18" fillId="4" borderId="69" xfId="0" applyFont="1" applyFill="1" applyBorder="1" applyAlignment="1" applyProtection="1">
      <alignment horizontal="center" vertical="center"/>
      <protection locked="0"/>
    </xf>
    <xf numFmtId="166" fontId="18" fillId="4" borderId="69" xfId="0" applyNumberFormat="1" applyFont="1" applyFill="1" applyBorder="1" applyAlignment="1" applyProtection="1">
      <alignment horizontal="center" vertical="center"/>
      <protection locked="0"/>
    </xf>
    <xf numFmtId="1" fontId="18" fillId="4" borderId="69" xfId="0" applyNumberFormat="1" applyFont="1" applyFill="1" applyBorder="1" applyAlignment="1" applyProtection="1">
      <alignment horizontal="center" vertical="center"/>
      <protection locked="0"/>
    </xf>
    <xf numFmtId="166" fontId="18" fillId="4" borderId="59" xfId="0" applyNumberFormat="1" applyFont="1" applyFill="1" applyBorder="1" applyAlignment="1" applyProtection="1">
      <alignment horizontal="center" vertical="center"/>
      <protection locked="0"/>
    </xf>
    <xf numFmtId="0" fontId="18" fillId="4" borderId="22" xfId="0" applyFont="1" applyFill="1" applyBorder="1" applyAlignment="1" applyProtection="1">
      <alignment horizontal="center" vertical="center"/>
      <protection locked="0"/>
    </xf>
    <xf numFmtId="166" fontId="18" fillId="4" borderId="22" xfId="0" applyNumberFormat="1" applyFont="1" applyFill="1" applyBorder="1" applyAlignment="1" applyProtection="1">
      <alignment horizontal="center" vertical="center"/>
      <protection locked="0"/>
    </xf>
    <xf numFmtId="1" fontId="18" fillId="4" borderId="22" xfId="0" applyNumberFormat="1" applyFont="1" applyFill="1" applyBorder="1" applyAlignment="1" applyProtection="1">
      <alignment horizontal="center" vertical="center"/>
      <protection locked="0"/>
    </xf>
    <xf numFmtId="166" fontId="18" fillId="4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99" xfId="0" applyBorder="1" applyAlignment="1"/>
    <xf numFmtId="0" fontId="18" fillId="12" borderId="2" xfId="0" applyFont="1" applyFill="1" applyBorder="1" applyAlignment="1" applyProtection="1">
      <alignment horizontal="center" vertical="center"/>
      <protection hidden="1"/>
    </xf>
    <xf numFmtId="0" fontId="18" fillId="0" borderId="30" xfId="0" applyFont="1" applyBorder="1" applyAlignment="1" applyProtection="1">
      <alignment horizontal="center" vertical="center"/>
      <protection hidden="1"/>
    </xf>
    <xf numFmtId="0" fontId="18" fillId="12" borderId="30" xfId="0" applyFont="1" applyFill="1" applyBorder="1" applyAlignment="1" applyProtection="1">
      <alignment horizontal="center" vertical="center"/>
      <protection hidden="1"/>
    </xf>
    <xf numFmtId="0" fontId="18" fillId="7" borderId="2" xfId="0" applyFont="1" applyFill="1" applyBorder="1" applyAlignment="1" applyProtection="1">
      <alignment horizontal="center" vertical="center"/>
      <protection hidden="1"/>
    </xf>
    <xf numFmtId="0" fontId="18" fillId="10" borderId="30" xfId="0" applyFont="1" applyFill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18" fillId="23" borderId="30" xfId="0" applyFont="1" applyFill="1" applyBorder="1" applyAlignment="1" applyProtection="1">
      <alignment horizontal="center" vertical="center"/>
      <protection hidden="1"/>
    </xf>
    <xf numFmtId="0" fontId="18" fillId="2" borderId="30" xfId="0" applyFont="1" applyFill="1" applyBorder="1" applyAlignment="1" applyProtection="1">
      <alignment horizontal="center" vertical="center"/>
      <protection hidden="1"/>
    </xf>
    <xf numFmtId="0" fontId="18" fillId="24" borderId="3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70" fontId="18" fillId="11" borderId="98" xfId="0" applyNumberFormat="1" applyFont="1" applyFill="1" applyBorder="1" applyAlignment="1" applyProtection="1">
      <alignment horizontal="center"/>
      <protection locked="0" hidden="1"/>
    </xf>
    <xf numFmtId="0" fontId="0" fillId="0" borderId="0" xfId="0" applyBorder="1" applyProtection="1">
      <protection hidden="1"/>
    </xf>
    <xf numFmtId="0" fontId="18" fillId="0" borderId="93" xfId="0" applyFont="1" applyBorder="1" applyAlignment="1" applyProtection="1">
      <alignment horizontal="center" vertical="center"/>
      <protection hidden="1"/>
    </xf>
    <xf numFmtId="0" fontId="18" fillId="0" borderId="94" xfId="0" applyFont="1" applyBorder="1" applyAlignment="1" applyProtection="1">
      <alignment horizontal="center" vertical="center"/>
      <protection locked="0" hidden="1"/>
    </xf>
    <xf numFmtId="172" fontId="18" fillId="0" borderId="98" xfId="0" applyNumberFormat="1" applyFont="1" applyBorder="1" applyAlignment="1" applyProtection="1">
      <alignment horizontal="center" vertical="center"/>
      <protection locked="0" hidden="1"/>
    </xf>
    <xf numFmtId="49" fontId="18" fillId="31" borderId="3" xfId="0" applyNumberFormat="1" applyFont="1" applyFill="1" applyBorder="1" applyAlignment="1" applyProtection="1">
      <alignment horizontal="center" vertical="center"/>
      <protection locked="0"/>
    </xf>
    <xf numFmtId="0" fontId="18" fillId="2" borderId="30" xfId="0" applyNumberFormat="1" applyFont="1" applyFill="1" applyBorder="1" applyAlignment="1" applyProtection="1">
      <alignment horizontal="center" vertical="center"/>
      <protection hidden="1"/>
    </xf>
    <xf numFmtId="0" fontId="18" fillId="12" borderId="93" xfId="0" applyFont="1" applyFill="1" applyBorder="1" applyAlignment="1" applyProtection="1">
      <alignment horizontal="center" vertical="center"/>
      <protection hidden="1"/>
    </xf>
    <xf numFmtId="166" fontId="0" fillId="0" borderId="34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166" fontId="0" fillId="0" borderId="49" xfId="0" applyNumberFormat="1" applyBorder="1" applyAlignment="1">
      <alignment horizontal="center" vertical="center"/>
    </xf>
    <xf numFmtId="0" fontId="0" fillId="0" borderId="101" xfId="0" applyBorder="1"/>
    <xf numFmtId="164" fontId="16" fillId="0" borderId="101" xfId="0" applyNumberFormat="1" applyFont="1" applyBorder="1" applyAlignment="1">
      <alignment horizontal="center" vertical="center"/>
    </xf>
    <xf numFmtId="166" fontId="16" fillId="0" borderId="49" xfId="0" applyNumberFormat="1" applyFont="1" applyBorder="1" applyAlignment="1">
      <alignment horizontal="center" vertical="center"/>
    </xf>
    <xf numFmtId="0" fontId="16" fillId="0" borderId="101" xfId="0" applyFont="1" applyBorder="1" applyAlignment="1">
      <alignment vertical="center"/>
    </xf>
    <xf numFmtId="164" fontId="16" fillId="0" borderId="49" xfId="0" applyNumberFormat="1" applyFont="1" applyBorder="1" applyAlignment="1">
      <alignment horizontal="center" vertical="center"/>
    </xf>
    <xf numFmtId="0" fontId="2" fillId="0" borderId="101" xfId="0" applyFont="1" applyBorder="1"/>
    <xf numFmtId="166" fontId="16" fillId="0" borderId="50" xfId="0" applyNumberFormat="1" applyFont="1" applyBorder="1" applyAlignment="1">
      <alignment horizontal="center" vertical="center"/>
    </xf>
    <xf numFmtId="164" fontId="16" fillId="0" borderId="5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4" fontId="17" fillId="0" borderId="104" xfId="0" applyNumberFormat="1" applyFont="1" applyBorder="1" applyAlignment="1">
      <alignment horizontal="center" vertical="center"/>
    </xf>
    <xf numFmtId="164" fontId="17" fillId="0" borderId="34" xfId="0" applyNumberFormat="1" applyFont="1" applyBorder="1" applyAlignment="1">
      <alignment horizontal="center" vertical="center"/>
    </xf>
    <xf numFmtId="164" fontId="17" fillId="0" borderId="49" xfId="0" applyNumberFormat="1" applyFont="1" applyBorder="1" applyAlignment="1">
      <alignment horizontal="center" vertical="center"/>
    </xf>
    <xf numFmtId="164" fontId="0" fillId="0" borderId="104" xfId="0" applyNumberFormat="1" applyBorder="1" applyAlignment="1">
      <alignment horizontal="center" vertical="center"/>
    </xf>
    <xf numFmtId="176" fontId="21" fillId="15" borderId="0" xfId="0" applyNumberFormat="1" applyFont="1" applyFill="1" applyBorder="1" applyAlignment="1">
      <alignment horizontal="center" vertical="center"/>
    </xf>
    <xf numFmtId="166" fontId="21" fillId="15" borderId="55" xfId="0" applyNumberFormat="1" applyFont="1" applyFill="1" applyBorder="1" applyAlignment="1">
      <alignment horizontal="center" vertical="center"/>
    </xf>
    <xf numFmtId="0" fontId="18" fillId="17" borderId="97" xfId="0" applyFont="1" applyFill="1" applyBorder="1" applyAlignment="1" applyProtection="1">
      <alignment horizontal="center" vertical="center"/>
      <protection locked="0"/>
    </xf>
    <xf numFmtId="164" fontId="18" fillId="17" borderId="98" xfId="0" applyNumberFormat="1" applyFont="1" applyFill="1" applyBorder="1" applyAlignment="1" applyProtection="1">
      <alignment horizontal="center" vertical="center"/>
      <protection locked="0"/>
    </xf>
    <xf numFmtId="164" fontId="18" fillId="17" borderId="93" xfId="0" applyNumberFormat="1" applyFont="1" applyFill="1" applyBorder="1" applyAlignment="1" applyProtection="1">
      <alignment horizontal="center" vertical="center"/>
      <protection locked="0"/>
    </xf>
    <xf numFmtId="166" fontId="18" fillId="17" borderId="95" xfId="0" applyNumberFormat="1" applyFont="1" applyFill="1" applyBorder="1" applyAlignment="1" applyProtection="1">
      <alignment horizontal="center" vertical="center"/>
      <protection locked="0"/>
    </xf>
    <xf numFmtId="0" fontId="18" fillId="17" borderId="95" xfId="0" applyFont="1" applyFill="1" applyBorder="1" applyAlignment="1" applyProtection="1">
      <alignment horizontal="center" vertical="center"/>
      <protection locked="0"/>
    </xf>
    <xf numFmtId="164" fontId="18" fillId="17" borderId="95" xfId="0" applyNumberFormat="1" applyFont="1" applyFill="1" applyBorder="1" applyAlignment="1" applyProtection="1">
      <alignment horizontal="center" vertical="center"/>
      <protection locked="0"/>
    </xf>
    <xf numFmtId="167" fontId="18" fillId="17" borderId="94" xfId="0" applyNumberFormat="1" applyFont="1" applyFill="1" applyBorder="1" applyAlignment="1" applyProtection="1">
      <alignment horizontal="center" vertical="center"/>
      <protection locked="0"/>
    </xf>
    <xf numFmtId="0" fontId="18" fillId="21" borderId="83" xfId="0" applyFont="1" applyFill="1" applyBorder="1" applyAlignment="1" applyProtection="1">
      <alignment horizontal="center" vertical="center"/>
      <protection locked="0"/>
    </xf>
    <xf numFmtId="164" fontId="18" fillId="21" borderId="15" xfId="0" applyNumberFormat="1" applyFont="1" applyFill="1" applyBorder="1" applyAlignment="1" applyProtection="1">
      <alignment horizontal="center" vertical="center"/>
      <protection locked="0"/>
    </xf>
    <xf numFmtId="166" fontId="18" fillId="21" borderId="19" xfId="0" applyNumberFormat="1" applyFont="1" applyFill="1" applyBorder="1" applyAlignment="1" applyProtection="1">
      <alignment horizontal="center" vertical="center"/>
      <protection locked="0"/>
    </xf>
    <xf numFmtId="0" fontId="18" fillId="21" borderId="19" xfId="0" applyFont="1" applyFill="1" applyBorder="1" applyAlignment="1" applyProtection="1">
      <alignment horizontal="center" vertical="center"/>
      <protection locked="0"/>
    </xf>
    <xf numFmtId="167" fontId="18" fillId="21" borderId="22" xfId="0" applyNumberFormat="1" applyFont="1" applyFill="1" applyBorder="1" applyAlignment="1" applyProtection="1">
      <alignment horizontal="center" vertical="center"/>
      <protection locked="0"/>
    </xf>
    <xf numFmtId="0" fontId="21" fillId="17" borderId="30" xfId="0" applyFont="1" applyFill="1" applyBorder="1" applyAlignment="1">
      <alignment horizontal="center" vertical="center"/>
    </xf>
    <xf numFmtId="0" fontId="33" fillId="15" borderId="0" xfId="0" applyFont="1" applyFill="1"/>
    <xf numFmtId="0" fontId="21" fillId="3" borderId="30" xfId="0" applyFont="1" applyFill="1" applyBorder="1" applyAlignment="1">
      <alignment horizontal="center" vertical="center"/>
    </xf>
    <xf numFmtId="0" fontId="21" fillId="32" borderId="30" xfId="0" applyFont="1" applyFill="1" applyBorder="1" applyAlignment="1">
      <alignment horizontal="center" vertical="center"/>
    </xf>
    <xf numFmtId="0" fontId="21" fillId="32" borderId="19" xfId="0" applyFont="1" applyFill="1" applyBorder="1" applyAlignment="1">
      <alignment horizontal="center" vertical="center"/>
    </xf>
    <xf numFmtId="164" fontId="21" fillId="32" borderId="47" xfId="0" applyNumberFormat="1" applyFont="1" applyFill="1" applyBorder="1" applyAlignment="1">
      <alignment horizontal="center" vertical="center"/>
    </xf>
    <xf numFmtId="0" fontId="40" fillId="32" borderId="54" xfId="0" applyFont="1" applyFill="1" applyBorder="1" applyAlignment="1" applyProtection="1">
      <alignment horizontal="center" vertical="center"/>
      <protection locked="0"/>
    </xf>
    <xf numFmtId="0" fontId="40" fillId="36" borderId="5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/>
    <xf numFmtId="0" fontId="19" fillId="0" borderId="0" xfId="0" applyFont="1" applyFill="1" applyAlignment="1"/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43" xfId="0" applyFont="1" applyFill="1" applyBorder="1" applyAlignment="1" applyProtection="1">
      <alignment horizontal="center" vertical="center"/>
      <protection hidden="1"/>
    </xf>
    <xf numFmtId="0" fontId="23" fillId="0" borderId="41" xfId="0" applyFont="1" applyFill="1" applyBorder="1" applyAlignment="1" applyProtection="1">
      <alignment horizontal="center" vertical="center"/>
      <protection hidden="1"/>
    </xf>
    <xf numFmtId="166" fontId="24" fillId="0" borderId="0" xfId="0" applyNumberFormat="1" applyFont="1" applyFill="1" applyBorder="1" applyAlignment="1" applyProtection="1">
      <alignment horizontal="center" vertical="center"/>
      <protection hidden="1"/>
    </xf>
    <xf numFmtId="166" fontId="24" fillId="0" borderId="43" xfId="0" applyNumberFormat="1" applyFont="1" applyFill="1" applyBorder="1" applyAlignment="1" applyProtection="1">
      <alignment horizontal="center" vertical="center"/>
      <protection hidden="1"/>
    </xf>
    <xf numFmtId="164" fontId="24" fillId="0" borderId="0" xfId="0" applyNumberFormat="1" applyFont="1" applyFill="1" applyBorder="1" applyAlignment="1" applyProtection="1">
      <alignment horizontal="center"/>
      <protection hidden="1"/>
    </xf>
    <xf numFmtId="171" fontId="24" fillId="0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right" vertical="center"/>
      <protection hidden="1"/>
    </xf>
    <xf numFmtId="0" fontId="19" fillId="0" borderId="0" xfId="0" applyFont="1" applyFill="1" applyBorder="1" applyAlignment="1" applyProtection="1">
      <protection hidden="1"/>
    </xf>
    <xf numFmtId="0" fontId="19" fillId="0" borderId="0" xfId="0" applyFont="1" applyFill="1" applyAlignment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171" fontId="24" fillId="0" borderId="0" xfId="0" applyNumberFormat="1" applyFont="1" applyFill="1" applyAlignment="1" applyProtection="1">
      <alignment horizontal="center" vertical="top"/>
      <protection hidden="1"/>
    </xf>
    <xf numFmtId="0" fontId="23" fillId="0" borderId="0" xfId="0" applyFont="1" applyFill="1" applyProtection="1">
      <protection hidden="1"/>
    </xf>
    <xf numFmtId="170" fontId="24" fillId="0" borderId="0" xfId="0" applyNumberFormat="1" applyFont="1" applyFill="1" applyAlignment="1" applyProtection="1">
      <alignment horizontal="center" vertical="center"/>
      <protection hidden="1"/>
    </xf>
    <xf numFmtId="174" fontId="24" fillId="0" borderId="0" xfId="0" applyNumberFormat="1" applyFont="1" applyFill="1" applyAlignment="1" applyProtection="1">
      <alignment horizontal="center" vertical="center"/>
      <protection hidden="1"/>
    </xf>
    <xf numFmtId="164" fontId="18" fillId="0" borderId="68" xfId="0" applyNumberFormat="1" applyFont="1" applyFill="1" applyBorder="1" applyAlignment="1" applyProtection="1">
      <alignment horizontal="center" vertical="center"/>
    </xf>
    <xf numFmtId="164" fontId="18" fillId="0" borderId="95" xfId="0" applyNumberFormat="1" applyFont="1" applyFill="1" applyBorder="1" applyAlignment="1" applyProtection="1">
      <alignment horizontal="center" vertical="center"/>
    </xf>
    <xf numFmtId="166" fontId="18" fillId="0" borderId="67" xfId="0" applyNumberFormat="1" applyFont="1" applyFill="1" applyBorder="1" applyAlignment="1" applyProtection="1">
      <alignment horizontal="center" vertical="center"/>
    </xf>
    <xf numFmtId="166" fontId="18" fillId="0" borderId="94" xfId="0" applyNumberFormat="1" applyFont="1" applyFill="1" applyBorder="1" applyAlignment="1" applyProtection="1">
      <alignment horizontal="center" vertical="center"/>
    </xf>
    <xf numFmtId="0" fontId="18" fillId="0" borderId="67" xfId="0" applyNumberFormat="1" applyFont="1" applyFill="1" applyBorder="1" applyAlignment="1" applyProtection="1">
      <alignment horizontal="center" vertical="center"/>
    </xf>
    <xf numFmtId="0" fontId="18" fillId="0" borderId="9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  <protection hidden="1"/>
    </xf>
    <xf numFmtId="0" fontId="26" fillId="0" borderId="36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Alignment="1" applyProtection="1">
      <alignment horizontal="center" vertical="center" wrapText="1"/>
      <protection hidden="1"/>
    </xf>
    <xf numFmtId="167" fontId="24" fillId="0" borderId="0" xfId="0" applyNumberFormat="1" applyFont="1" applyFill="1" applyBorder="1" applyAlignment="1" applyProtection="1">
      <alignment horizontal="center" vertical="center" wrapText="1"/>
      <protection hidden="1"/>
    </xf>
    <xf numFmtId="5" fontId="24" fillId="0" borderId="36" xfId="0" applyNumberFormat="1" applyFont="1" applyFill="1" applyBorder="1" applyAlignment="1" applyProtection="1">
      <alignment horizontal="center" vertical="center"/>
      <protection hidden="1"/>
    </xf>
    <xf numFmtId="166" fontId="24" fillId="0" borderId="36" xfId="0" applyNumberFormat="1" applyFont="1" applyFill="1" applyBorder="1" applyAlignment="1" applyProtection="1">
      <alignment horizontal="center" vertical="center"/>
      <protection hidden="1"/>
    </xf>
    <xf numFmtId="164" fontId="24" fillId="0" borderId="0" xfId="0" applyNumberFormat="1" applyFont="1" applyFill="1" applyBorder="1" applyAlignment="1" applyProtection="1">
      <alignment horizontal="center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168" fontId="24" fillId="0" borderId="0" xfId="0" applyNumberFormat="1" applyFont="1" applyFill="1" applyAlignment="1" applyProtection="1">
      <alignment horizontal="center" vertical="center"/>
      <protection hidden="1"/>
    </xf>
    <xf numFmtId="164" fontId="24" fillId="0" borderId="36" xfId="0" applyNumberFormat="1" applyFont="1" applyFill="1" applyBorder="1" applyAlignment="1" applyProtection="1">
      <alignment horizontal="center" vertical="center"/>
      <protection hidden="1"/>
    </xf>
    <xf numFmtId="164" fontId="24" fillId="0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167" fontId="24" fillId="0" borderId="0" xfId="0" applyNumberFormat="1" applyFont="1" applyFill="1" applyAlignment="1" applyProtection="1">
      <alignment horizontal="center" vertical="center"/>
      <protection hidden="1"/>
    </xf>
    <xf numFmtId="0" fontId="26" fillId="0" borderId="41" xfId="0" applyFont="1" applyFill="1" applyBorder="1" applyAlignment="1" applyProtection="1">
      <alignment horizontal="center" vertical="center" wrapText="1"/>
      <protection hidden="1"/>
    </xf>
    <xf numFmtId="5" fontId="24" fillId="0" borderId="41" xfId="0" applyNumberFormat="1" applyFont="1" applyFill="1" applyBorder="1" applyAlignment="1" applyProtection="1">
      <alignment horizontal="center" vertical="center"/>
      <protection hidden="1"/>
    </xf>
    <xf numFmtId="5" fontId="24" fillId="0" borderId="41" xfId="1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41" xfId="0" applyFont="1" applyFill="1" applyBorder="1" applyProtection="1">
      <protection hidden="1"/>
    </xf>
    <xf numFmtId="0" fontId="24" fillId="0" borderId="36" xfId="0" applyFont="1" applyFill="1" applyBorder="1" applyProtection="1">
      <protection hidden="1"/>
    </xf>
    <xf numFmtId="168" fontId="24" fillId="0" borderId="0" xfId="0" applyNumberFormat="1" applyFont="1" applyFill="1" applyBorder="1" applyAlignment="1" applyProtection="1">
      <alignment horizontal="center" vertical="center"/>
      <protection hidden="1"/>
    </xf>
    <xf numFmtId="164" fontId="27" fillId="0" borderId="36" xfId="0" applyNumberFormat="1" applyFont="1" applyFill="1" applyBorder="1" applyAlignment="1" applyProtection="1">
      <alignment horizontal="center" vertical="center"/>
      <protection hidden="1"/>
    </xf>
    <xf numFmtId="0" fontId="26" fillId="15" borderId="40" xfId="0" applyFont="1" applyFill="1" applyBorder="1" applyAlignment="1" applyProtection="1">
      <alignment horizontal="center" vertical="center" wrapText="1"/>
      <protection hidden="1"/>
    </xf>
    <xf numFmtId="0" fontId="26" fillId="15" borderId="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164" fontId="27" fillId="15" borderId="36" xfId="0" applyNumberFormat="1" applyFont="1" applyFill="1" applyBorder="1" applyAlignment="1" applyProtection="1">
      <alignment horizontal="center" vertical="center" wrapText="1"/>
      <protection hidden="1"/>
    </xf>
    <xf numFmtId="164" fontId="27" fillId="15" borderId="40" xfId="0" applyNumberFormat="1" applyFont="1" applyFill="1" applyBorder="1" applyAlignment="1" applyProtection="1">
      <alignment horizontal="center" vertical="center" wrapText="1"/>
      <protection hidden="1"/>
    </xf>
    <xf numFmtId="164" fontId="27" fillId="15" borderId="0" xfId="0" applyNumberFormat="1" applyFont="1" applyFill="1" applyBorder="1" applyAlignment="1" applyProtection="1">
      <alignment horizontal="center" vertical="center" wrapText="1"/>
      <protection hidden="1"/>
    </xf>
    <xf numFmtId="164" fontId="27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164" fontId="18" fillId="15" borderId="81" xfId="0" applyNumberFormat="1" applyFont="1" applyFill="1" applyBorder="1" applyAlignment="1" applyProtection="1">
      <alignment horizontal="center" vertical="center"/>
    </xf>
    <xf numFmtId="5" fontId="24" fillId="0" borderId="40" xfId="0" applyNumberFormat="1" applyFont="1" applyFill="1" applyBorder="1" applyAlignment="1" applyProtection="1">
      <alignment horizontal="center" vertical="center"/>
      <protection hidden="1"/>
    </xf>
    <xf numFmtId="166" fontId="24" fillId="0" borderId="38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24" fillId="0" borderId="36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6" fontId="24" fillId="0" borderId="0" xfId="0" applyNumberFormat="1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>
      <alignment horizontal="center" vertical="center"/>
    </xf>
    <xf numFmtId="14" fontId="0" fillId="13" borderId="0" xfId="0" applyNumberFormat="1" applyFill="1"/>
    <xf numFmtId="0" fontId="0" fillId="13" borderId="0" xfId="0" applyFill="1" applyAlignment="1">
      <alignment horizontal="right"/>
    </xf>
    <xf numFmtId="0" fontId="21" fillId="5" borderId="77" xfId="0" applyFont="1" applyFill="1" applyBorder="1" applyAlignment="1">
      <alignment horizontal="center" vertical="center"/>
    </xf>
    <xf numFmtId="0" fontId="21" fillId="5" borderId="78" xfId="0" applyFont="1" applyFill="1" applyBorder="1" applyAlignment="1">
      <alignment horizontal="center" vertical="center"/>
    </xf>
    <xf numFmtId="0" fontId="14" fillId="20" borderId="0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4" fillId="20" borderId="0" xfId="0" applyFont="1" applyFill="1" applyBorder="1" applyAlignment="1">
      <alignment horizontal="center" vertical="center"/>
    </xf>
    <xf numFmtId="0" fontId="20" fillId="26" borderId="0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1" fillId="15" borderId="13" xfId="0" applyFont="1" applyFill="1" applyBorder="1" applyAlignment="1">
      <alignment horizontal="center" vertical="center"/>
    </xf>
    <xf numFmtId="0" fontId="21" fillId="15" borderId="75" xfId="0" applyFont="1" applyFill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center"/>
    </xf>
    <xf numFmtId="0" fontId="0" fillId="27" borderId="0" xfId="0" applyFill="1" applyBorder="1" applyAlignment="1">
      <alignment horizontal="center"/>
    </xf>
    <xf numFmtId="0" fontId="6" fillId="16" borderId="0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6" fillId="28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center" vertical="center"/>
    </xf>
    <xf numFmtId="0" fontId="15" fillId="26" borderId="0" xfId="0" applyFont="1" applyFill="1" applyBorder="1" applyAlignment="1">
      <alignment horizontal="center" vertical="center"/>
    </xf>
    <xf numFmtId="0" fontId="22" fillId="26" borderId="0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7" fillId="18" borderId="9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6" fillId="29" borderId="18" xfId="0" applyFont="1" applyFill="1" applyBorder="1" applyAlignment="1">
      <alignment horizontal="center" vertical="center" wrapText="1"/>
    </xf>
    <xf numFmtId="0" fontId="6" fillId="29" borderId="18" xfId="0" applyFont="1" applyFill="1" applyBorder="1" applyAlignment="1">
      <alignment horizontal="center" vertical="center"/>
    </xf>
    <xf numFmtId="0" fontId="6" fillId="29" borderId="18" xfId="0" applyFont="1" applyFill="1" applyBorder="1" applyAlignment="1">
      <alignment horizontal="center" wrapText="1"/>
    </xf>
    <xf numFmtId="0" fontId="16" fillId="5" borderId="48" xfId="0" applyFont="1" applyFill="1" applyBorder="1" applyAlignment="1">
      <alignment horizontal="center" vertical="center"/>
    </xf>
    <xf numFmtId="0" fontId="16" fillId="5" borderId="49" xfId="0" applyFont="1" applyFill="1" applyBorder="1" applyAlignment="1">
      <alignment horizontal="center" vertical="center"/>
    </xf>
    <xf numFmtId="0" fontId="16" fillId="5" borderId="44" xfId="0" applyFont="1" applyFill="1" applyBorder="1" applyAlignment="1">
      <alignment horizontal="center" vertical="center"/>
    </xf>
    <xf numFmtId="167" fontId="16" fillId="5" borderId="50" xfId="0" applyNumberFormat="1" applyFont="1" applyFill="1" applyBorder="1" applyAlignment="1">
      <alignment horizontal="center" vertical="center"/>
    </xf>
    <xf numFmtId="167" fontId="16" fillId="5" borderId="29" xfId="0" applyNumberFormat="1" applyFont="1" applyFill="1" applyBorder="1" applyAlignment="1">
      <alignment horizontal="center" vertical="center"/>
    </xf>
    <xf numFmtId="164" fontId="16" fillId="5" borderId="48" xfId="0" applyNumberFormat="1" applyFont="1" applyFill="1" applyBorder="1" applyAlignment="1">
      <alignment horizontal="center" vertical="center"/>
    </xf>
    <xf numFmtId="164" fontId="16" fillId="5" borderId="44" xfId="0" applyNumberFormat="1" applyFont="1" applyFill="1" applyBorder="1" applyAlignment="1">
      <alignment horizontal="center" vertical="center"/>
    </xf>
    <xf numFmtId="164" fontId="16" fillId="0" borderId="46" xfId="0" applyNumberFormat="1" applyFont="1" applyFill="1" applyBorder="1" applyAlignment="1">
      <alignment horizontal="center" vertical="center"/>
    </xf>
    <xf numFmtId="164" fontId="16" fillId="0" borderId="45" xfId="0" applyNumberFormat="1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167" fontId="16" fillId="5" borderId="10" xfId="0" applyNumberFormat="1" applyFont="1" applyFill="1" applyBorder="1" applyAlignment="1">
      <alignment horizontal="center" vertical="center"/>
    </xf>
    <xf numFmtId="167" fontId="16" fillId="5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164" fontId="16" fillId="5" borderId="46" xfId="0" applyNumberFormat="1" applyFont="1" applyFill="1" applyBorder="1" applyAlignment="1">
      <alignment horizontal="center" vertical="center"/>
    </xf>
    <xf numFmtId="164" fontId="16" fillId="5" borderId="45" xfId="0" applyNumberFormat="1" applyFont="1" applyFill="1" applyBorder="1" applyAlignment="1">
      <alignment horizontal="center" vertical="center"/>
    </xf>
    <xf numFmtId="0" fontId="16" fillId="29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 applyProtection="1">
      <alignment horizontal="center" vertical="center"/>
      <protection locked="0"/>
    </xf>
    <xf numFmtId="167" fontId="16" fillId="0" borderId="10" xfId="0" applyNumberFormat="1" applyFont="1" applyFill="1" applyBorder="1" applyAlignment="1">
      <alignment horizontal="center" vertical="center"/>
    </xf>
    <xf numFmtId="167" fontId="16" fillId="0" borderId="9" xfId="0" applyNumberFormat="1" applyFont="1" applyFill="1" applyBorder="1" applyAlignment="1">
      <alignment horizontal="center" vertical="center"/>
    </xf>
    <xf numFmtId="0" fontId="16" fillId="15" borderId="46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6" fillId="15" borderId="45" xfId="0" applyFont="1" applyFill="1" applyBorder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25" fillId="0" borderId="36" xfId="0" applyFont="1" applyFill="1" applyBorder="1" applyAlignment="1" applyProtection="1">
      <alignment horizontal="center" vertical="center"/>
      <protection hidden="1"/>
    </xf>
    <xf numFmtId="0" fontId="25" fillId="0" borderId="41" xfId="0" applyFont="1" applyFill="1" applyBorder="1" applyAlignment="1" applyProtection="1">
      <alignment horizontal="center" vertical="center"/>
      <protection hidden="1"/>
    </xf>
    <xf numFmtId="0" fontId="6" fillId="8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15" fillId="22" borderId="0" xfId="0" applyFont="1" applyFill="1" applyBorder="1" applyAlignment="1">
      <alignment horizontal="center" vertical="center"/>
    </xf>
    <xf numFmtId="0" fontId="15" fillId="22" borderId="51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51" xfId="0" applyFont="1" applyFill="1" applyBorder="1" applyAlignment="1">
      <alignment horizontal="center" vertical="center"/>
    </xf>
    <xf numFmtId="0" fontId="25" fillId="15" borderId="36" xfId="0" applyFont="1" applyFill="1" applyBorder="1" applyAlignment="1" applyProtection="1">
      <alignment horizontal="center" vertical="center"/>
      <protection hidden="1"/>
    </xf>
    <xf numFmtId="0" fontId="25" fillId="15" borderId="39" xfId="0" applyFont="1" applyFill="1" applyBorder="1" applyAlignment="1" applyProtection="1">
      <alignment horizontal="center" vertical="center"/>
      <protection hidden="1"/>
    </xf>
    <xf numFmtId="0" fontId="15" fillId="12" borderId="8" xfId="0" applyFont="1" applyFill="1" applyBorder="1" applyAlignment="1">
      <alignment horizontal="center" vertical="center"/>
    </xf>
    <xf numFmtId="0" fontId="14" fillId="20" borderId="0" xfId="0" applyFont="1" applyFill="1" applyAlignment="1">
      <alignment horizontal="center" vertical="center"/>
    </xf>
    <xf numFmtId="0" fontId="25" fillId="15" borderId="36" xfId="0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wrapText="1"/>
      <protection hidden="1"/>
    </xf>
    <xf numFmtId="0" fontId="25" fillId="0" borderId="0" xfId="0" applyFont="1" applyFill="1" applyAlignment="1" applyProtection="1">
      <alignment horizontal="center" wrapText="1"/>
      <protection hidden="1"/>
    </xf>
    <xf numFmtId="0" fontId="6" fillId="12" borderId="8" xfId="0" applyFont="1" applyFill="1" applyBorder="1" applyAlignment="1" applyProtection="1">
      <alignment horizontal="center" vertical="center"/>
      <protection hidden="1"/>
    </xf>
    <xf numFmtId="0" fontId="25" fillId="15" borderId="74" xfId="0" applyFont="1" applyFill="1" applyBorder="1" applyAlignment="1" applyProtection="1">
      <alignment horizontal="center" vertical="center"/>
      <protection hidden="1"/>
    </xf>
    <xf numFmtId="0" fontId="25" fillId="15" borderId="52" xfId="0" applyFont="1" applyFill="1" applyBorder="1" applyAlignment="1" applyProtection="1">
      <alignment horizontal="center" vertical="center"/>
      <protection hidden="1"/>
    </xf>
    <xf numFmtId="0" fontId="6" fillId="14" borderId="8" xfId="0" applyFont="1" applyFill="1" applyBorder="1" applyAlignment="1" applyProtection="1">
      <alignment horizontal="center" vertical="center"/>
      <protection hidden="1"/>
    </xf>
    <xf numFmtId="0" fontId="25" fillId="15" borderId="36" xfId="0" applyFont="1" applyFill="1" applyBorder="1" applyAlignment="1">
      <alignment horizontal="center" vertical="center" wrapText="1"/>
    </xf>
    <xf numFmtId="0" fontId="28" fillId="15" borderId="36" xfId="0" applyFont="1" applyFill="1" applyBorder="1" applyAlignment="1" applyProtection="1">
      <alignment horizontal="center" vertical="center"/>
      <protection hidden="1"/>
    </xf>
    <xf numFmtId="0" fontId="6" fillId="12" borderId="8" xfId="0" applyFont="1" applyFill="1" applyBorder="1" applyAlignment="1">
      <alignment horizontal="center" vertical="center"/>
    </xf>
    <xf numFmtId="0" fontId="6" fillId="27" borderId="8" xfId="0" applyFont="1" applyFill="1" applyBorder="1" applyAlignment="1">
      <alignment horizontal="center" vertical="center"/>
    </xf>
    <xf numFmtId="0" fontId="6" fillId="31" borderId="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26" borderId="8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34" borderId="8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3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10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0" xfId="0" applyBorder="1" applyAlignment="1">
      <alignment horizontal="left"/>
    </xf>
    <xf numFmtId="0" fontId="0" fillId="0" borderId="29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101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10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2" xfId="0" applyBorder="1" applyAlignment="1">
      <alignment horizontal="left"/>
    </xf>
    <xf numFmtId="0" fontId="16" fillId="29" borderId="0" xfId="0" applyFont="1" applyFill="1" applyAlignment="1">
      <alignment horizontal="left" vertical="center"/>
    </xf>
    <xf numFmtId="0" fontId="0" fillId="29" borderId="0" xfId="0" applyFill="1" applyAlignment="1">
      <alignment horizontal="left" vertical="center"/>
    </xf>
    <xf numFmtId="0" fontId="16" fillId="35" borderId="0" xfId="0" applyFont="1" applyFill="1" applyAlignment="1">
      <alignment horizontal="left" vertical="center"/>
    </xf>
    <xf numFmtId="0" fontId="0" fillId="35" borderId="0" xfId="0" applyFill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14" fillId="20" borderId="15" xfId="0" applyFont="1" applyFill="1" applyBorder="1" applyAlignment="1">
      <alignment horizontal="center"/>
    </xf>
    <xf numFmtId="0" fontId="14" fillId="20" borderId="16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76" xfId="0" applyFill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21" fillId="15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\ \f\t"/>
      <fill>
        <patternFill patternType="solid">
          <fgColor indexed="64"/>
          <bgColor rgb="FFC0A4DE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\ \f\t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\ \f\t"/>
      <fill>
        <patternFill patternType="solid">
          <fgColor indexed="64"/>
          <bgColor rgb="FFC0A4DE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\ \f\t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numFmt numFmtId="166" formatCode="0\ \f\t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medium">
          <color indexed="64"/>
        </left>
        <right style="double">
          <color auto="1"/>
        </right>
        <top style="thin">
          <color indexed="64"/>
        </top>
        <bottom style="thin">
          <color indexed="64"/>
        </bottom>
        <vertical style="double">
          <color auto="1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rgb="FFC0A4DE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rgb="FFC0A4DE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71" formatCode="0&quot; mph&quot;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0&quot; days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9" formatCode="&quot;$&quot;#,##0_);\(&quot;$&quot;#,##0\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font>
        <b/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&quot; yrs&quot;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border diagonalUp="0" diagonalDown="0">
        <left style="medium">
          <color indexed="64"/>
        </left>
        <right style="double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0&quot; yrs&quot;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border diagonalUp="0" diagonalDown="0">
        <left style="double">
          <color indexed="64"/>
        </left>
        <right style="double">
          <color indexed="64"/>
        </right>
        <top/>
        <bottom/>
        <vertical style="double">
          <color indexed="64"/>
        </vertical>
        <horizontal style="double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0&quot; yrs&quot;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border diagonalUp="0" diagonalDown="0">
        <left style="double">
          <color indexed="64"/>
        </left>
        <right style="double">
          <color indexed="64"/>
        </right>
        <top/>
        <bottom/>
        <vertical style="double">
          <color indexed="64"/>
        </vertical>
        <horizontal style="double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&quot;$&quot;#,##0"/>
      <border diagonalUp="0" diagonalDown="0">
        <left style="medium">
          <color indexed="64"/>
        </left>
        <right style="double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0&quot; yrs&quot;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\ \f\t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9" formatCode="&quot;$&quot;#,##0_);\(&quot;$&quot;#,##0\)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9" formatCode="&quot;$&quot;#,##0_);\(&quot;$&quot;#,##0\)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double">
          <color indexed="64"/>
        </right>
        <top style="double">
          <color indexed="64"/>
        </top>
        <bottom style="double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border diagonalUp="0" diagonalDown="0">
        <left style="double">
          <color indexed="64"/>
        </left>
        <right style="double">
          <color indexed="64"/>
        </right>
        <top/>
        <bottom/>
        <vertical style="double">
          <color indexed="64"/>
        </vertical>
        <horizontal style="double">
          <color indexed="64"/>
        </horizontal>
      </border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CCFFFF"/>
      <color rgb="FFFFCCFF"/>
      <color rgb="FFC0A4DE"/>
      <color rgb="FFCCCCFF"/>
      <color rgb="FF9999FF"/>
      <color rgb="FF9966FF"/>
      <color rgb="FF66FFFF"/>
      <color rgb="FFFF66FF"/>
      <color rgb="FFCC66FF"/>
      <color rgb="FFAB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parison!A1"/><Relationship Id="rId3" Type="http://schemas.openxmlformats.org/officeDocument/2006/relationships/hyperlink" Target="#'Plow Operating Cost'!A1"/><Relationship Id="rId7" Type="http://schemas.openxmlformats.org/officeDocument/2006/relationships/hyperlink" Target="#'Right Through'!A1"/><Relationship Id="rId2" Type="http://schemas.openxmlformats.org/officeDocument/2006/relationships/hyperlink" Target="#'Plow Conf &amp; Procure'!A1"/><Relationship Id="rId1" Type="http://schemas.openxmlformats.org/officeDocument/2006/relationships/hyperlink" Target="#'Define Route'!A1"/><Relationship Id="rId6" Type="http://schemas.openxmlformats.org/officeDocument/2006/relationships/hyperlink" Target="#'Left Through'!A1"/><Relationship Id="rId5" Type="http://schemas.openxmlformats.org/officeDocument/2006/relationships/hyperlink" Target="#'Diverge Right'!A1"/><Relationship Id="rId4" Type="http://schemas.openxmlformats.org/officeDocument/2006/relationships/hyperlink" Target="#'Diverge Left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User Interfac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User Interfac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User Interfac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User Interface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User Interface'!A1"/><Relationship Id="rId2" Type="http://schemas.openxmlformats.org/officeDocument/2006/relationships/hyperlink" Target="#'Nodes Library'!A1"/><Relationship Id="rId1" Type="http://schemas.openxmlformats.org/officeDocument/2006/relationships/hyperlink" Target="#'Segment Library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Define Route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5" Type="http://schemas.openxmlformats.org/officeDocument/2006/relationships/hyperlink" Target="#'Define Route'!A1"/><Relationship Id="rId4" Type="http://schemas.openxmlformats.org/officeDocument/2006/relationships/image" Target="../media/image5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User Interfac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User Interfac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User Interface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29</xdr:row>
          <xdr:rowOff>137160</xdr:rowOff>
        </xdr:from>
        <xdr:to>
          <xdr:col>3</xdr:col>
          <xdr:colOff>160020</xdr:colOff>
          <xdr:row>33</xdr:row>
          <xdr:rowOff>106680</xdr:rowOff>
        </xdr:to>
        <xdr:sp macro="" textlink="">
          <xdr:nvSpPr>
            <xdr:cNvPr id="1033" name="runSimulation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9525</xdr:colOff>
      <xdr:row>6</xdr:row>
      <xdr:rowOff>190500</xdr:rowOff>
    </xdr:from>
    <xdr:to>
      <xdr:col>10</xdr:col>
      <xdr:colOff>704850</xdr:colOff>
      <xdr:row>14</xdr:row>
      <xdr:rowOff>238125</xdr:rowOff>
    </xdr:to>
    <xdr:sp macro="" textlink="">
      <xdr:nvSpPr>
        <xdr:cNvPr id="6" name="Right Arrow 5">
          <a:hlinkClick xmlns:r="http://schemas.openxmlformats.org/officeDocument/2006/relationships" r:id="rId1" tooltip="Define Route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19675" y="1933575"/>
          <a:ext cx="2124075" cy="2028825"/>
        </a:xfrm>
        <a:prstGeom prst="rightArrow">
          <a:avLst/>
        </a:prstGeom>
        <a:solidFill>
          <a:schemeClr val="accent4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To Define</a:t>
          </a:r>
          <a:r>
            <a:rPr lang="en-US" sz="1800" b="1" baseline="0">
              <a:solidFill>
                <a:sysClr val="windowText" lastClr="000000"/>
              </a:solidFill>
            </a:rPr>
            <a:t> Route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561975</xdr:colOff>
      <xdr:row>6</xdr:row>
      <xdr:rowOff>228600</xdr:rowOff>
    </xdr:from>
    <xdr:to>
      <xdr:col>4</xdr:col>
      <xdr:colOff>180975</xdr:colOff>
      <xdr:row>15</xdr:row>
      <xdr:rowOff>114300</xdr:rowOff>
    </xdr:to>
    <xdr:sp macro="" textlink="">
      <xdr:nvSpPr>
        <xdr:cNvPr id="7" name="Right Arrow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1975" y="1971675"/>
          <a:ext cx="1771650" cy="2114550"/>
        </a:xfrm>
        <a:prstGeom prst="rightArrow">
          <a:avLst/>
        </a:prstGeom>
        <a:solidFill>
          <a:schemeClr val="accent4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To Plow Config.</a:t>
          </a:r>
          <a:endParaRPr lang="en-US" sz="18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>
              <a:solidFill>
                <a:sysClr val="windowText" lastClr="000000"/>
              </a:solidFill>
            </a:rPr>
            <a:t>&amp; Procure Cost</a:t>
          </a:r>
        </a:p>
      </xdr:txBody>
    </xdr:sp>
    <xdr:clientData/>
  </xdr:twoCellAnchor>
  <xdr:twoCellAnchor>
    <xdr:from>
      <xdr:col>4</xdr:col>
      <xdr:colOff>314326</xdr:colOff>
      <xdr:row>6</xdr:row>
      <xdr:rowOff>200025</xdr:rowOff>
    </xdr:from>
    <xdr:to>
      <xdr:col>7</xdr:col>
      <xdr:colOff>190500</xdr:colOff>
      <xdr:row>15</xdr:row>
      <xdr:rowOff>66674</xdr:rowOff>
    </xdr:to>
    <xdr:sp macro="" textlink="">
      <xdr:nvSpPr>
        <xdr:cNvPr id="8" name="Right Arrow 7">
          <a:hlinkClick xmlns:r="http://schemas.openxmlformats.org/officeDocument/2006/relationships" r:id="rId3" tooltip="Plow Operating Cost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66976" y="1943100"/>
          <a:ext cx="2019299" cy="2095499"/>
        </a:xfrm>
        <a:prstGeom prst="rightArrow">
          <a:avLst/>
        </a:prstGeom>
        <a:solidFill>
          <a:schemeClr val="accent4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To Plow</a:t>
          </a:r>
        </a:p>
        <a:p>
          <a:pPr algn="ctr"/>
          <a:r>
            <a:rPr lang="en-US" sz="1800" b="1">
              <a:solidFill>
                <a:sysClr val="windowText" lastClr="000000"/>
              </a:solidFill>
            </a:rPr>
            <a:t>Operating</a:t>
          </a:r>
          <a:r>
            <a:rPr lang="en-US" sz="1800" b="1" baseline="0">
              <a:solidFill>
                <a:sysClr val="windowText" lastClr="000000"/>
              </a:solidFill>
            </a:rPr>
            <a:t> Cost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95250</xdr:colOff>
      <xdr:row>31</xdr:row>
      <xdr:rowOff>142875</xdr:rowOff>
    </xdr:from>
    <xdr:to>
      <xdr:col>13</xdr:col>
      <xdr:colOff>752475</xdr:colOff>
      <xdr:row>33</xdr:row>
      <xdr:rowOff>19051</xdr:rowOff>
    </xdr:to>
    <xdr:sp macro="" textlink="">
      <xdr:nvSpPr>
        <xdr:cNvPr id="2" name="Pentagon 1">
          <a:hlinkClick xmlns:r="http://schemas.openxmlformats.org/officeDocument/2006/relationships" r:id="rId4" tooltip="Diverge Lef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62900" y="8039100"/>
          <a:ext cx="1266825" cy="371476"/>
        </a:xfrm>
        <a:prstGeom prst="homePlate">
          <a:avLst/>
        </a:prstGeom>
        <a:solidFill>
          <a:srgbClr val="CC66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See Full</a:t>
          </a:r>
          <a:r>
            <a:rPr lang="en-US" sz="1400" b="1" baseline="0">
              <a:solidFill>
                <a:sysClr val="windowText" lastClr="000000"/>
              </a:solidFill>
            </a:rPr>
            <a:t> List</a:t>
          </a:r>
          <a:endParaRPr 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29</xdr:row>
      <xdr:rowOff>133350</xdr:rowOff>
    </xdr:from>
    <xdr:to>
      <xdr:col>12</xdr:col>
      <xdr:colOff>533400</xdr:colOff>
      <xdr:row>30</xdr:row>
      <xdr:rowOff>238125</xdr:rowOff>
    </xdr:to>
    <xdr:sp macro="" textlink="">
      <xdr:nvSpPr>
        <xdr:cNvPr id="3" name="Pentagon 2">
          <a:hlinkClick xmlns:r="http://schemas.openxmlformats.org/officeDocument/2006/relationships" r:id="rId5" tooltip="Diverge Right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39000" y="6677025"/>
          <a:ext cx="1162050" cy="352425"/>
        </a:xfrm>
        <a:prstGeom prst="homePlate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See Full List</a:t>
          </a:r>
        </a:p>
      </xdr:txBody>
    </xdr:sp>
    <xdr:clientData/>
  </xdr:twoCellAnchor>
  <xdr:twoCellAnchor>
    <xdr:from>
      <xdr:col>10</xdr:col>
      <xdr:colOff>95250</xdr:colOff>
      <xdr:row>27</xdr:row>
      <xdr:rowOff>142875</xdr:rowOff>
    </xdr:from>
    <xdr:to>
      <xdr:col>11</xdr:col>
      <xdr:colOff>619125</xdr:colOff>
      <xdr:row>29</xdr:row>
      <xdr:rowOff>1</xdr:rowOff>
    </xdr:to>
    <xdr:sp macro="" textlink="">
      <xdr:nvSpPr>
        <xdr:cNvPr id="4" name="Pentagon 3">
          <a:hlinkClick xmlns:r="http://schemas.openxmlformats.org/officeDocument/2006/relationships" r:id="rId6" tooltip="Through Left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34150" y="6191250"/>
          <a:ext cx="1238250" cy="352426"/>
        </a:xfrm>
        <a:prstGeom prst="homePlate">
          <a:avLst/>
        </a:prstGeom>
        <a:solidFill>
          <a:schemeClr val="accent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See Full List</a:t>
          </a:r>
        </a:p>
      </xdr:txBody>
    </xdr:sp>
    <xdr:clientData/>
  </xdr:twoCellAnchor>
  <xdr:twoCellAnchor>
    <xdr:from>
      <xdr:col>9</xdr:col>
      <xdr:colOff>95248</xdr:colOff>
      <xdr:row>25</xdr:row>
      <xdr:rowOff>133350</xdr:rowOff>
    </xdr:from>
    <xdr:to>
      <xdr:col>11</xdr:col>
      <xdr:colOff>12699</xdr:colOff>
      <xdr:row>26</xdr:row>
      <xdr:rowOff>238125</xdr:rowOff>
    </xdr:to>
    <xdr:sp macro="" textlink="">
      <xdr:nvSpPr>
        <xdr:cNvPr id="5" name="Pentagon 4">
          <a:hlinkClick xmlns:r="http://schemas.openxmlformats.org/officeDocument/2006/relationships" r:id="rId7" tooltip="Through Right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97548" y="6661150"/>
          <a:ext cx="1339851" cy="358775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ysClr val="windowText" lastClr="000000"/>
              </a:solidFill>
            </a:rPr>
            <a:t>See Full List</a:t>
          </a:r>
        </a:p>
      </xdr:txBody>
    </xdr:sp>
    <xdr:clientData/>
  </xdr:twoCellAnchor>
  <xdr:twoCellAnchor>
    <xdr:from>
      <xdr:col>13</xdr:col>
      <xdr:colOff>1455420</xdr:colOff>
      <xdr:row>31</xdr:row>
      <xdr:rowOff>144780</xdr:rowOff>
    </xdr:from>
    <xdr:to>
      <xdr:col>16</xdr:col>
      <xdr:colOff>22860</xdr:colOff>
      <xdr:row>33</xdr:row>
      <xdr:rowOff>127636</xdr:rowOff>
    </xdr:to>
    <xdr:sp macro="" textlink="">
      <xdr:nvSpPr>
        <xdr:cNvPr id="10" name="Pentagon 9">
          <a:hlinkClick xmlns:r="http://schemas.openxmlformats.org/officeDocument/2006/relationships" r:id="rId8" tooltip="Diverge Left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951720" y="8122920"/>
          <a:ext cx="2926080" cy="485776"/>
        </a:xfrm>
        <a:prstGeom prst="homePlate">
          <a:avLst/>
        </a:prstGeom>
        <a:solidFill>
          <a:srgbClr val="FF0000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View Plow Combinations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7</xdr:row>
      <xdr:rowOff>125730</xdr:rowOff>
    </xdr:from>
    <xdr:to>
      <xdr:col>10</xdr:col>
      <xdr:colOff>344805</xdr:colOff>
      <xdr:row>15</xdr:row>
      <xdr:rowOff>20955</xdr:rowOff>
    </xdr:to>
    <xdr:sp macro="" textlink="">
      <xdr:nvSpPr>
        <xdr:cNvPr id="2" name="Left Arrow 1">
          <a:hlinkClick xmlns:r="http://schemas.openxmlformats.org/officeDocument/2006/relationships" r:id="rId1" tooltip="User Interface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9334500" y="1581150"/>
          <a:ext cx="2524125" cy="1419225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User Interface</a:t>
          </a:r>
        </a:p>
      </xdr:txBody>
    </xdr:sp>
    <xdr:clientData/>
  </xdr:twoCellAnchor>
  <xdr:twoCellAnchor>
    <xdr:from>
      <xdr:col>6</xdr:col>
      <xdr:colOff>125729</xdr:colOff>
      <xdr:row>0</xdr:row>
      <xdr:rowOff>102870</xdr:rowOff>
    </xdr:from>
    <xdr:to>
      <xdr:col>12</xdr:col>
      <xdr:colOff>411480</xdr:colOff>
      <xdr:row>5</xdr:row>
      <xdr:rowOff>169545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9201149" y="102870"/>
          <a:ext cx="3943351" cy="11410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Plow Combinations Ranked by Cost Efficiency</a:t>
          </a:r>
          <a:b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Through Lanes Cleared Right</a:t>
          </a:r>
          <a:endParaRPr lang="en-US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9</xdr:row>
      <xdr:rowOff>104776</xdr:rowOff>
    </xdr:from>
    <xdr:to>
      <xdr:col>15</xdr:col>
      <xdr:colOff>1028700</xdr:colOff>
      <xdr:row>19</xdr:row>
      <xdr:rowOff>66675</xdr:rowOff>
    </xdr:to>
    <xdr:sp macro="" textlink="">
      <xdr:nvSpPr>
        <xdr:cNvPr id="3" name="Left Arrow 2">
          <a:hlinkClick xmlns:r="http://schemas.openxmlformats.org/officeDocument/2006/relationships" r:id="rId1" tooltip="User Interface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9715500" y="2381251"/>
          <a:ext cx="2524125" cy="2009774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2400" b="1">
              <a:solidFill>
                <a:sysClr val="windowText" lastClr="000000"/>
              </a:solidFill>
            </a:rPr>
            <a:t>User Interface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4</xdr:row>
      <xdr:rowOff>38100</xdr:rowOff>
    </xdr:from>
    <xdr:to>
      <xdr:col>10</xdr:col>
      <xdr:colOff>285750</xdr:colOff>
      <xdr:row>9</xdr:row>
      <xdr:rowOff>276225</xdr:rowOff>
    </xdr:to>
    <xdr:sp macro="" textlink="">
      <xdr:nvSpPr>
        <xdr:cNvPr id="2" name="Left Arrow 1">
          <a:hlinkClick xmlns:r="http://schemas.openxmlformats.org/officeDocument/2006/relationships" r:id="rId1" tooltip="User Interfac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15450" y="1771650"/>
          <a:ext cx="2295525" cy="1571625"/>
        </a:xfrm>
        <a:prstGeom prst="leftArrow">
          <a:avLst/>
        </a:prstGeom>
        <a:solidFill>
          <a:schemeClr val="accent2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800" b="1">
              <a:solidFill>
                <a:sysClr val="windowText" lastClr="000000"/>
              </a:solidFill>
            </a:rPr>
            <a:t>User Interface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1228725</xdr:colOff>
      <xdr:row>22</xdr:row>
      <xdr:rowOff>161925</xdr:rowOff>
    </xdr:from>
    <xdr:to>
      <xdr:col>6</xdr:col>
      <xdr:colOff>1057275</xdr:colOff>
      <xdr:row>27</xdr:row>
      <xdr:rowOff>114300</xdr:rowOff>
    </xdr:to>
    <xdr:sp macro="" textlink="">
      <xdr:nvSpPr>
        <xdr:cNvPr id="2" name="Left Arrow 1">
          <a:hlinkClick xmlns:r="http://schemas.openxmlformats.org/officeDocument/2006/relationships" r:id="rId1" tooltip="User Interface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991225" y="6410325"/>
          <a:ext cx="2486025" cy="1704975"/>
        </a:xfrm>
        <a:prstGeom prst="leftArrow">
          <a:avLst/>
        </a:prstGeom>
        <a:solidFill>
          <a:schemeClr val="accent2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800" b="1">
              <a:solidFill>
                <a:sysClr val="windowText" lastClr="000000"/>
              </a:solidFill>
            </a:rPr>
            <a:t>User Interface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161927</xdr:colOff>
      <xdr:row>3</xdr:row>
      <xdr:rowOff>28575</xdr:rowOff>
    </xdr:from>
    <xdr:to>
      <xdr:col>5</xdr:col>
      <xdr:colOff>400051</xdr:colOff>
      <xdr:row>8</xdr:row>
      <xdr:rowOff>171450</xdr:rowOff>
    </xdr:to>
    <xdr:sp macro="" textlink="">
      <xdr:nvSpPr>
        <xdr:cNvPr id="4" name="Right Arrow 3">
          <a:hlinkClick xmlns:r="http://schemas.openxmlformats.org/officeDocument/2006/relationships" r:id="rId1" tooltip="Segment Library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324227" y="1114425"/>
          <a:ext cx="2200274" cy="1828800"/>
        </a:xfrm>
        <a:prstGeom prst="rightArrow">
          <a:avLst/>
        </a:prstGeom>
        <a:solidFill>
          <a:schemeClr val="accent4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Roadway</a:t>
          </a:r>
          <a:endParaRPr lang="en-US" sz="1800" b="1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Segment Libraries</a:t>
          </a:r>
          <a:endParaRPr lang="en-US" sz="18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</xdr:col>
      <xdr:colOff>542925</xdr:colOff>
      <xdr:row>10</xdr:row>
      <xdr:rowOff>266700</xdr:rowOff>
    </xdr:from>
    <xdr:to>
      <xdr:col>6</xdr:col>
      <xdr:colOff>942975</xdr:colOff>
      <xdr:row>15</xdr:row>
      <xdr:rowOff>180975</xdr:rowOff>
    </xdr:to>
    <xdr:sp macro="" textlink="">
      <xdr:nvSpPr>
        <xdr:cNvPr id="5" name="Right Arrow 4">
          <a:hlinkClick xmlns:r="http://schemas.openxmlformats.org/officeDocument/2006/relationships" r:id="rId2" tooltip="Node Library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686300" y="3590925"/>
          <a:ext cx="2362200" cy="1885950"/>
        </a:xfrm>
        <a:prstGeom prst="rightArrow">
          <a:avLst/>
        </a:prstGeom>
        <a:solidFill>
          <a:schemeClr val="accent4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Geometric</a:t>
          </a:r>
          <a:endParaRPr lang="en-US" sz="1800" b="1">
            <a:solidFill>
              <a:sysClr val="windowText" lastClr="000000"/>
            </a:solidFill>
            <a:effectLst/>
          </a:endParaRPr>
        </a:p>
        <a:p>
          <a:pPr algn="ctr"/>
          <a:r>
            <a:rPr 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Node Libraries</a:t>
          </a:r>
          <a:endParaRPr lang="en-US" sz="1800" b="1">
            <a:solidFill>
              <a:sysClr val="windowText" lastClr="000000"/>
            </a:solidFill>
            <a:effectLst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590550</xdr:colOff>
      <xdr:row>18</xdr:row>
      <xdr:rowOff>85726</xdr:rowOff>
    </xdr:from>
    <xdr:to>
      <xdr:col>6</xdr:col>
      <xdr:colOff>952500</xdr:colOff>
      <xdr:row>25</xdr:row>
      <xdr:rowOff>190500</xdr:rowOff>
    </xdr:to>
    <xdr:sp macro="" textlink="">
      <xdr:nvSpPr>
        <xdr:cNvPr id="6" name="Left Arrow 5">
          <a:hlinkClick xmlns:r="http://schemas.openxmlformats.org/officeDocument/2006/relationships" r:id="rId3" tooltip="User Interfa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33925" y="6124576"/>
          <a:ext cx="2324100" cy="1838324"/>
        </a:xfrm>
        <a:prstGeom prst="leftArrow">
          <a:avLst/>
        </a:prstGeom>
        <a:solidFill>
          <a:schemeClr val="accent2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800" b="1">
              <a:solidFill>
                <a:sysClr val="windowText" lastClr="000000"/>
              </a:solidFill>
            </a:rPr>
            <a:t>User Interface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9</xdr:row>
      <xdr:rowOff>114300</xdr:rowOff>
    </xdr:from>
    <xdr:to>
      <xdr:col>8</xdr:col>
      <xdr:colOff>47625</xdr:colOff>
      <xdr:row>13</xdr:row>
      <xdr:rowOff>228600</xdr:rowOff>
    </xdr:to>
    <xdr:sp macro="" textlink="">
      <xdr:nvSpPr>
        <xdr:cNvPr id="3" name="Left Arrow 2">
          <a:hlinkClick xmlns:r="http://schemas.openxmlformats.org/officeDocument/2006/relationships" r:id="rId1" tooltip="Define Rote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909185" y="2979420"/>
          <a:ext cx="2636520" cy="1630680"/>
        </a:xfrm>
        <a:prstGeom prst="leftArrow">
          <a:avLst/>
        </a:prstGeom>
        <a:solidFill>
          <a:schemeClr val="accent2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800" b="1">
              <a:solidFill>
                <a:sysClr val="windowText" lastClr="000000"/>
              </a:solidFill>
            </a:rPr>
            <a:t>Define Route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103117</xdr:colOff>
      <xdr:row>16</xdr:row>
      <xdr:rowOff>95250</xdr:rowOff>
    </xdr:from>
    <xdr:to>
      <xdr:col>3</xdr:col>
      <xdr:colOff>721588</xdr:colOff>
      <xdr:row>27</xdr:row>
      <xdr:rowOff>2257427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17" y="4714875"/>
          <a:ext cx="3247371" cy="5372102"/>
        </a:xfrm>
        <a:prstGeom prst="rect">
          <a:avLst/>
        </a:prstGeom>
      </xdr:spPr>
    </xdr:pic>
    <xdr:clientData/>
  </xdr:twoCellAnchor>
  <xdr:oneCellAnchor>
    <xdr:from>
      <xdr:col>9</xdr:col>
      <xdr:colOff>276225</xdr:colOff>
      <xdr:row>16</xdr:row>
      <xdr:rowOff>16904</xdr:rowOff>
    </xdr:from>
    <xdr:ext cx="3324225" cy="5458484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950" y="4636529"/>
          <a:ext cx="3324225" cy="5458484"/>
        </a:xfrm>
        <a:prstGeom prst="rect">
          <a:avLst/>
        </a:prstGeom>
      </xdr:spPr>
    </xdr:pic>
    <xdr:clientData/>
  </xdr:oneCellAnchor>
  <xdr:twoCellAnchor editAs="oneCell">
    <xdr:from>
      <xdr:col>5</xdr:col>
      <xdr:colOff>66675</xdr:colOff>
      <xdr:row>16</xdr:row>
      <xdr:rowOff>57760</xdr:rowOff>
    </xdr:from>
    <xdr:to>
      <xdr:col>7</xdr:col>
      <xdr:colOff>374345</xdr:colOff>
      <xdr:row>27</xdr:row>
      <xdr:rowOff>180974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4677385"/>
          <a:ext cx="2669870" cy="3333139"/>
        </a:xfrm>
        <a:prstGeom prst="rect">
          <a:avLst/>
        </a:prstGeom>
      </xdr:spPr>
    </xdr:pic>
    <xdr:clientData/>
  </xdr:twoCellAnchor>
  <xdr:twoCellAnchor editAs="oneCell">
    <xdr:from>
      <xdr:col>14</xdr:col>
      <xdr:colOff>30655</xdr:colOff>
      <xdr:row>16</xdr:row>
      <xdr:rowOff>161924</xdr:rowOff>
    </xdr:from>
    <xdr:to>
      <xdr:col>18</xdr:col>
      <xdr:colOff>1085796</xdr:colOff>
      <xdr:row>27</xdr:row>
      <xdr:rowOff>1743074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8205" y="4781549"/>
          <a:ext cx="4293641" cy="4791075"/>
        </a:xfrm>
        <a:prstGeom prst="rect">
          <a:avLst/>
        </a:prstGeom>
      </xdr:spPr>
    </xdr:pic>
    <xdr:clientData/>
  </xdr:twoCellAnchor>
  <xdr:twoCellAnchor>
    <xdr:from>
      <xdr:col>12</xdr:col>
      <xdr:colOff>657225</xdr:colOff>
      <xdr:row>34</xdr:row>
      <xdr:rowOff>133350</xdr:rowOff>
    </xdr:from>
    <xdr:to>
      <xdr:col>14</xdr:col>
      <xdr:colOff>590550</xdr:colOff>
      <xdr:row>39</xdr:row>
      <xdr:rowOff>57150</xdr:rowOff>
    </xdr:to>
    <xdr:sp macro="" textlink="">
      <xdr:nvSpPr>
        <xdr:cNvPr id="2" name="Left Arrow 1">
          <a:hlinkClick xmlns:r="http://schemas.openxmlformats.org/officeDocument/2006/relationships" r:id="rId5" tooltip="Define Route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3211175" y="12163425"/>
          <a:ext cx="2066925" cy="1552575"/>
        </a:xfrm>
        <a:prstGeom prst="leftArrow">
          <a:avLst/>
        </a:prstGeom>
        <a:solidFill>
          <a:schemeClr val="accent2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Define Route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123826</xdr:colOff>
      <xdr:row>9</xdr:row>
      <xdr:rowOff>180976</xdr:rowOff>
    </xdr:from>
    <xdr:to>
      <xdr:col>15</xdr:col>
      <xdr:colOff>9526</xdr:colOff>
      <xdr:row>14</xdr:row>
      <xdr:rowOff>228600</xdr:rowOff>
    </xdr:to>
    <xdr:sp macro="" textlink="">
      <xdr:nvSpPr>
        <xdr:cNvPr id="3" name="Left Arrow 2">
          <a:hlinkClick xmlns:r="http://schemas.openxmlformats.org/officeDocument/2006/relationships" r:id="rId5" tooltip="Define Route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782676" y="2847976"/>
          <a:ext cx="2019300" cy="1647824"/>
        </a:xfrm>
        <a:prstGeom prst="leftArrow">
          <a:avLst/>
        </a:prstGeom>
        <a:solidFill>
          <a:schemeClr val="accent2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Return</a:t>
          </a:r>
          <a:r>
            <a:rPr lang="en-US" sz="1800" b="1" baseline="0">
              <a:solidFill>
                <a:sysClr val="windowText" lastClr="000000"/>
              </a:solidFill>
            </a:rPr>
            <a:t> To</a:t>
          </a:r>
        </a:p>
        <a:p>
          <a:pPr algn="ctr"/>
          <a:r>
            <a:rPr lang="en-US" sz="1800" b="1" baseline="0">
              <a:solidFill>
                <a:sysClr val="windowText" lastClr="000000"/>
              </a:solidFill>
            </a:rPr>
            <a:t>Define Route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</xdr:row>
      <xdr:rowOff>142875</xdr:rowOff>
    </xdr:from>
    <xdr:to>
      <xdr:col>8</xdr:col>
      <xdr:colOff>209550</xdr:colOff>
      <xdr:row>16</xdr:row>
      <xdr:rowOff>47625</xdr:rowOff>
    </xdr:to>
    <xdr:sp macro="" textlink="">
      <xdr:nvSpPr>
        <xdr:cNvPr id="2" name="Left Arrow 1">
          <a:hlinkClick xmlns:r="http://schemas.openxmlformats.org/officeDocument/2006/relationships" r:id="rId1" tooltip="User Interface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962900" y="1600200"/>
          <a:ext cx="2533650" cy="161925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User Interface</a:t>
          </a:r>
        </a:p>
      </xdr:txBody>
    </xdr:sp>
    <xdr:clientData/>
  </xdr:twoCellAnchor>
  <xdr:twoCellAnchor>
    <xdr:from>
      <xdr:col>4</xdr:col>
      <xdr:colOff>190501</xdr:colOff>
      <xdr:row>0</xdr:row>
      <xdr:rowOff>114300</xdr:rowOff>
    </xdr:from>
    <xdr:to>
      <xdr:col>11</xdr:col>
      <xdr:colOff>190501</xdr:colOff>
      <xdr:row>6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905751" y="114300"/>
          <a:ext cx="4267200" cy="1123950"/>
        </a:xfrm>
        <a:prstGeom prst="rect">
          <a:avLst/>
        </a:prstGeom>
        <a:solidFill>
          <a:srgbClr val="CC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Plow Combinations Ranked by Cost Efficiency</a:t>
          </a:r>
          <a:br>
            <a:rPr lang="en-US" sz="1400" b="1">
              <a:solidFill>
                <a:sysClr val="windowText" lastClr="000000"/>
              </a:solidFill>
            </a:rPr>
          </a:br>
          <a:r>
            <a:rPr lang="en-US" sz="1400" b="1">
              <a:solidFill>
                <a:sysClr val="windowText" lastClr="000000"/>
              </a:solidFill>
            </a:rPr>
            <a:t>for Diverge Lanes Cleared Left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6</xdr:row>
      <xdr:rowOff>0</xdr:rowOff>
    </xdr:from>
    <xdr:to>
      <xdr:col>7</xdr:col>
      <xdr:colOff>57150</xdr:colOff>
      <xdr:row>13</xdr:row>
      <xdr:rowOff>114300</xdr:rowOff>
    </xdr:to>
    <xdr:sp macro="" textlink="">
      <xdr:nvSpPr>
        <xdr:cNvPr id="2" name="Left Arrow 1">
          <a:hlinkClick xmlns:r="http://schemas.openxmlformats.org/officeDocument/2006/relationships" r:id="rId1" tooltip="User Interface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915150" y="1143000"/>
          <a:ext cx="1847850" cy="1447800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User Interface</a:t>
          </a:r>
        </a:p>
      </xdr:txBody>
    </xdr:sp>
    <xdr:clientData/>
  </xdr:twoCellAnchor>
  <xdr:twoCellAnchor>
    <xdr:from>
      <xdr:col>4</xdr:col>
      <xdr:colOff>95250</xdr:colOff>
      <xdr:row>0</xdr:row>
      <xdr:rowOff>106680</xdr:rowOff>
    </xdr:from>
    <xdr:to>
      <xdr:col>10</xdr:col>
      <xdr:colOff>114300</xdr:colOff>
      <xdr:row>5</xdr:row>
      <xdr:rowOff>114300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020050" y="106680"/>
          <a:ext cx="3676650" cy="111252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Plow Combinations Ranked by Cost Efficiency</a:t>
          </a:r>
          <a:b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Diverge Lanes Cleared Right</a:t>
          </a:r>
          <a:endParaRPr lang="en-US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</xdr:colOff>
      <xdr:row>6</xdr:row>
      <xdr:rowOff>45719</xdr:rowOff>
    </xdr:from>
    <xdr:to>
      <xdr:col>8</xdr:col>
      <xdr:colOff>590550</xdr:colOff>
      <xdr:row>13</xdr:row>
      <xdr:rowOff>188594</xdr:rowOff>
    </xdr:to>
    <xdr:sp macro="" textlink="">
      <xdr:nvSpPr>
        <xdr:cNvPr id="2" name="Left Arrow 1">
          <a:hlinkClick xmlns:r="http://schemas.openxmlformats.org/officeDocument/2006/relationships" r:id="rId1" tooltip="User Interface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471535" y="1310639"/>
          <a:ext cx="2413635" cy="1476375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Return To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User</a:t>
          </a:r>
          <a:r>
            <a:rPr lang="en-US" sz="1400" b="1" baseline="0">
              <a:solidFill>
                <a:sysClr val="windowText" lastClr="000000"/>
              </a:solidFill>
            </a:rPr>
            <a:t> Interface</a:t>
          </a:r>
          <a:endParaRPr 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43815</xdr:colOff>
      <xdr:row>0</xdr:row>
      <xdr:rowOff>137160</xdr:rowOff>
    </xdr:from>
    <xdr:to>
      <xdr:col>11</xdr:col>
      <xdr:colOff>158115</xdr:colOff>
      <xdr:row>5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509635" y="137160"/>
          <a:ext cx="3771900" cy="1061085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Plow Combinations Ranked by Cost Efficiency</a:t>
          </a:r>
          <a:b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Through Lanes Cleared Left</a:t>
          </a:r>
          <a:endParaRPr lang="en-US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H7" totalsRowShown="0" headerRowDxfId="123" dataDxfId="122">
  <autoFilter ref="B4:H7" xr:uid="{00000000-0009-0000-0100-000001000000}"/>
  <tableColumns count="7">
    <tableColumn id="1" xr3:uid="{00000000-0010-0000-0000-000001000000}" name=" Configuration Name" dataDxfId="121"/>
    <tableColumn id="6" xr3:uid="{00000000-0010-0000-0000-000006000000}" name=" Std. Plow Truck_x000a_ Procure Cost" dataDxfId="120" dataCellStyle="Currency"/>
    <tableColumn id="9" xr3:uid="{00000000-0010-0000-0000-000009000000}" name="Head/Underbody_x000a_   Plow Cost" dataDxfId="119" dataCellStyle="Currency"/>
    <tableColumn id="10" xr3:uid="{00000000-0010-0000-0000-00000A000000}" name=" Max Clearing_x000a_   Width" dataDxfId="118"/>
    <tableColumn id="11" xr3:uid="{00000000-0010-0000-0000-00000B000000}" name=" Clear Direction_x000a_ (L) left, (R) right_x000a_ or (B) bi-direction_x000a_" dataDxfId="117"/>
    <tableColumn id="2" xr3:uid="{00000000-0010-0000-0000-000002000000}" name=" Expected Service_x000a_   Life" dataDxfId="116"/>
    <tableColumn id="4" xr3:uid="{00000000-0010-0000-0000-000004000000}" name=" Salvage Value" dataDxfId="115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Table139111271513814" displayName="Table139111271513814" ref="B4:O9" totalsRowShown="0" headerRowDxfId="24" dataDxfId="23">
  <autoFilter ref="B4:O9" xr:uid="{00000000-0009-0000-0100-00000D000000}"/>
  <tableColumns count="14">
    <tableColumn id="1" xr3:uid="{00000000-0010-0000-0900-000001000000}" name="Back-up Node Name_x000a_(Name)" dataDxfId="22"/>
    <tableColumn id="6" xr3:uid="{00000000-0010-0000-0900-000006000000}" name=" Number of_x000a_Beginning Lanes" dataDxfId="21"/>
    <tableColumn id="7" xr3:uid="{00000000-0010-0000-0900-000007000000}" name=" Number of_x000a_Through_x000a_Lanes" dataDxfId="20"/>
    <tableColumn id="8" xr3:uid="{00000000-0010-0000-0900-000008000000}" name=" Number of_x000a_Ending Lanes" dataDxfId="19"/>
    <tableColumn id="11" xr3:uid="{00000000-0010-0000-0900-00000B000000}" name="Through Lane(s) Width (ft)" dataDxfId="18"/>
    <tableColumn id="9" xr3:uid="{00000000-0010-0000-0900-000009000000}" name="Right Through_x000a_ Shoulder Clear Width (ft)" dataDxfId="17"/>
    <tableColumn id="10" xr3:uid="{00000000-0010-0000-0900-00000A000000}" name="Left Through_x000a_ Shoulder Clear_x000a_Width (ft)" dataDxfId="16"/>
    <tableColumn id="2" xr3:uid="{00000000-0010-0000-0900-000002000000}" name="Number Through Lanes Cleared Left" dataDxfId="15"/>
    <tableColumn id="3" xr3:uid="{00000000-0010-0000-0900-000003000000}" name="Number of_x000a_Diverge Lanes" dataDxfId="14"/>
    <tableColumn id="15" xr3:uid="{00000000-0010-0000-0900-00000F000000}" name="Width of_x000a_Diverge Lanes_x000a_(ft)" dataDxfId="13"/>
    <tableColumn id="4" xr3:uid="{00000000-0010-0000-0900-000004000000}" name="Right Diverge Shoulder Clear Width (ft)" dataDxfId="12"/>
    <tableColumn id="5" xr3:uid="{00000000-0010-0000-0900-000005000000}" name="Left Diverge Shoulder Clear Width (ft)" dataDxfId="11"/>
    <tableColumn id="12" xr3:uid="{00000000-0010-0000-0900-00000C000000}" name="Number Diverge Lanes Cleared Left" dataDxfId="10"/>
    <tableColumn id="13" xr3:uid="{00000000-0010-0000-0900-00000D000000}" name="Windrow Mitigation Width (ft)" dataDxfId="9"/>
  </tableColumns>
  <tableStyleInfo name="TableStyleLight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Table13911127151316" displayName="Table13911127151316" ref="B37:H40" totalsRowShown="0" headerRowDxfId="8" dataDxfId="7">
  <autoFilter ref="B37:H40" xr:uid="{00000000-0009-0000-0100-00000F000000}"/>
  <tableColumns count="7">
    <tableColumn id="1" xr3:uid="{00000000-0010-0000-0A00-000001000000}" name="Back-up Node Name_x000a_(Name)" dataDxfId="6"/>
    <tableColumn id="6" xr3:uid="{00000000-0010-0000-0A00-000006000000}" name="Number of_x000a_Roundabout_x000a_Lanes" dataDxfId="5"/>
    <tableColumn id="7" xr3:uid="{00000000-0010-0000-0A00-000007000000}" name="Width of_x000a_Roundabout_x000a_Lanes (ft)" dataDxfId="4"/>
    <tableColumn id="8" xr3:uid="{00000000-0010-0000-0A00-000008000000}" name="Right Roundabout Shoulder Clear Width (ft)" dataDxfId="3"/>
    <tableColumn id="11" xr3:uid="{00000000-0010-0000-0A00-00000B000000}" name="Left Roundabout Shoulder Clear Width (ft)" dataDxfId="2"/>
    <tableColumn id="9" xr3:uid="{00000000-0010-0000-0A00-000009000000}" name="Roundabout Left Clear Lanes" dataDxfId="1"/>
    <tableColumn id="10" xr3:uid="{00000000-0010-0000-0A00-00000A000000}" name="Windrow Mitigation Width (ft)" dataDxfId="0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15:K20" totalsRowShown="0" headerRowDxfId="114" dataDxfId="113">
  <autoFilter ref="B15:K20" xr:uid="{00000000-0009-0000-0100-000002000000}"/>
  <tableColumns count="10">
    <tableColumn id="1" xr3:uid="{00000000-0010-0000-0100-000001000000}" name=" Configuration Name" dataDxfId="112"/>
    <tableColumn id="6" xr3:uid="{00000000-0010-0000-0100-000006000000}" name=" Wing Plow Truck_x000a_  Procure Cost" dataDxfId="111"/>
    <tableColumn id="9" xr3:uid="{00000000-0010-0000-0100-000009000000}" name="Head/Underbody_x000a_   Plow cost" dataDxfId="110"/>
    <tableColumn id="10" xr3:uid="{00000000-0010-0000-0100-00000A000000}" name="  Plow Max_x000a_  Clearing_x000a_  Width" dataDxfId="109"/>
    <tableColumn id="11" xr3:uid="{00000000-0010-0000-0100-00000B000000}" name=" Clear Direction_x000a_ (L) left, (R) right_x000a_ or (B) bi-direction_x000a_" dataDxfId="108"/>
    <tableColumn id="3" xr3:uid="{00000000-0010-0000-0100-000003000000}" name=" Wing Plow_x000a_    Cost" dataDxfId="107"/>
    <tableColumn id="4" xr3:uid="{00000000-0010-0000-0100-000004000000}" name=" Wing Max_x000a_ Clearing_x000a_ Width" dataDxfId="106"/>
    <tableColumn id="5" xr3:uid="{00000000-0010-0000-0100-000005000000}" name=" Clear Direction_x000a_ (L) left, (R) right" dataDxfId="105"/>
    <tableColumn id="2" xr3:uid="{00000000-0010-0000-0100-000002000000}" name=" Expected Service_x000a_   Life" dataDxfId="104"/>
    <tableColumn id="8" xr3:uid="{00000000-0010-0000-0100-000008000000}" name=" Salvage Value" dataDxfId="103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10:H12" totalsRowShown="0" headerRowDxfId="102" dataDxfId="101">
  <autoFilter ref="B10:H12" xr:uid="{00000000-0009-0000-0100-000003000000}"/>
  <tableColumns count="7">
    <tableColumn id="1" xr3:uid="{00000000-0010-0000-0200-000001000000}" name=" Configuration Name" dataDxfId="100"/>
    <tableColumn id="6" xr3:uid="{00000000-0010-0000-0200-000006000000}" name=" Telescoping_x000a_ Plow Truck_x000a_ Procure Cost" dataDxfId="99"/>
    <tableColumn id="9" xr3:uid="{00000000-0010-0000-0200-000009000000}" name="Head/Underbody_x000a_   Plow cost" dataDxfId="98"/>
    <tableColumn id="10" xr3:uid="{00000000-0010-0000-0200-00000A000000}" name=" Max Clearing_x000a_   Width" dataDxfId="97"/>
    <tableColumn id="11" xr3:uid="{00000000-0010-0000-0200-00000B000000}" name=" Clear Direction_x000a_ (L) left, (R) right_x000a_ or (B) bi-direction_x000a_" dataDxfId="96"/>
    <tableColumn id="2" xr3:uid="{00000000-0010-0000-0200-000002000000}" name=" Expected Service_x000a_   Life" dataDxfId="95"/>
    <tableColumn id="3" xr3:uid="{00000000-0010-0000-0200-000003000000}" name=" Salvage Value" dataDxfId="94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5" displayName="Table135" ref="B23:K26" totalsRowShown="0" headerRowDxfId="93" dataDxfId="92">
  <autoFilter ref="B23:K26" xr:uid="{00000000-0009-0000-0100-000004000000}"/>
  <tableColumns count="10">
    <tableColumn id="1" xr3:uid="{00000000-0010-0000-0300-000001000000}" name=" Configuration Name" dataDxfId="91"/>
    <tableColumn id="6" xr3:uid="{00000000-0010-0000-0300-000006000000}" name=" Tow Plow Truck_x000a_  Procure Cost" dataDxfId="90"/>
    <tableColumn id="9" xr3:uid="{00000000-0010-0000-0300-000009000000}" name="Head/Underbody_x000a_   Plow Cost" dataDxfId="89"/>
    <tableColumn id="10" xr3:uid="{00000000-0010-0000-0300-00000A000000}" name=" Plow Max_x000a_Clearing  Width" dataDxfId="88"/>
    <tableColumn id="11" xr3:uid="{00000000-0010-0000-0300-00000B000000}" name=" Clear Direction_x000a_ (L) left, (R) right_x000a_ or (B) bi-direction_x000a_" dataDxfId="87"/>
    <tableColumn id="3" xr3:uid="{00000000-0010-0000-0300-000003000000}" name=" Tow Plow_x000a_    Cost" dataDxfId="86"/>
    <tableColumn id="4" xr3:uid="{00000000-0010-0000-0300-000004000000}" name=" Tow plow_x000a_ Clearing_x000a_ Width" dataDxfId="85"/>
    <tableColumn id="5" xr3:uid="{00000000-0010-0000-0300-000005000000}" name=" TP Clear Direction_x000a_ (L) left, (R) right_x000a_ or (B) bi-direction" dataDxfId="84"/>
    <tableColumn id="2" xr3:uid="{00000000-0010-0000-0300-000002000000}" name=" Expected Service_x000a_   Life" dataDxfId="83"/>
    <tableColumn id="7" xr3:uid="{00000000-0010-0000-0300-000007000000}" name=" Salvage Value" dataDxfId="8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3911" displayName="Table13911" ref="B4:M20" totalsRowShown="0" headerRowDxfId="81" dataDxfId="80">
  <autoFilter ref="B4:M20" xr:uid="{00000000-0009-0000-0100-00000A000000}"/>
  <tableColumns count="12">
    <tableColumn id="1" xr3:uid="{00000000-0010-0000-0400-000001000000}" name="Defined Plow Configurations" dataDxfId="79"/>
    <tableColumn id="6" xr3:uid="{00000000-0010-0000-0400-000006000000}" name="  Plow Truck_x000a_ Maint. &amp; Season_x000a_Configuration  Costs" dataDxfId="78"/>
    <tableColumn id="9" xr3:uid="{00000000-0010-0000-0400-000009000000}" name="Head/Underbody_x000a_Plow Maint. &amp; Season Config. Costs" dataDxfId="77"/>
    <tableColumn id="7" xr3:uid="{00000000-0010-0000-0400-000007000000}" name="Head/Underbody Plow Consumable_x000a_ Costs" dataDxfId="76"/>
    <tableColumn id="10" xr3:uid="{00000000-0010-0000-0400-00000A000000}" name=" Wing Plow_x000a_  Maint. &amp; Season_x000a_Configuration  Costs" dataDxfId="75"/>
    <tableColumn id="2" xr3:uid="{00000000-0010-0000-0400-000002000000}" name="Wing Plow_x000a_Consumable_x000a_Cost" dataDxfId="74"/>
    <tableColumn id="3" xr3:uid="{00000000-0010-0000-0400-000003000000}" name=" Tow Plow_x000a_  Maintenance &amp;_x000a_Consume Costs" dataDxfId="73"/>
    <tableColumn id="5" xr3:uid="{00000000-0010-0000-0400-000005000000}" name=" Tow Plow_x000a_ Storage Cost" dataDxfId="72"/>
    <tableColumn id="8" xr3:uid="{00000000-0010-0000-0400-000008000000}" name="Tele Plow_x000a_Maint. &amp; Season_x000a_Config. Costs" dataDxfId="71"/>
    <tableColumn id="20" xr3:uid="{00000000-0010-0000-0400-000014000000}" name="Tele Plow_x000a_Consumable_x000a_Costs" dataDxfId="70"/>
    <tableColumn id="18" xr3:uid="{00000000-0010-0000-0400-000012000000}" name=" Average Number of Days/Yr of Plow_x000a_Operation" dataDxfId="69"/>
    <tableColumn id="4" xr3:uid="{00000000-0010-0000-0400-000004000000}" name=" Average_x000a_Plowing Speed" dataDxfId="68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391112" displayName="Table1391112" ref="B23:D30" totalsRowShown="0" headerRowDxfId="67" dataDxfId="66">
  <autoFilter ref="B23:D30" xr:uid="{00000000-0009-0000-0100-00000B000000}"/>
  <tableColumns count="3">
    <tableColumn id="1" xr3:uid="{00000000-0010-0000-0500-000001000000}" name="Generic Plow Types" dataDxfId="65"/>
    <tableColumn id="6" xr3:uid="{00000000-0010-0000-0500-000006000000}" name="  Average Daily_x000a_Plow  Driver Cost" dataDxfId="64"/>
    <tableColumn id="13" xr3:uid="{00000000-0010-0000-0500-00000D000000}" name="Average Daily_x000a_Plow Fuel Costs" dataDxfId="63"/>
  </tableColumns>
  <tableStyleInfo name="TableStyleLight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Table1391112715" displayName="Table1391112715" ref="B4:G9" totalsRowShown="0" headerRowDxfId="62" dataDxfId="61">
  <autoFilter ref="B4:G9" xr:uid="{00000000-0009-0000-0100-00000E000000}"/>
  <tableColumns count="6">
    <tableColumn id="1" xr3:uid="{00000000-0010-0000-0600-000001000000}" name="Defined Segment Type_x000a_(Name)" dataDxfId="60"/>
    <tableColumn id="6" xr3:uid="{00000000-0010-0000-0600-000006000000}" name="  Number of_x000a_Lanes (#)" dataDxfId="59"/>
    <tableColumn id="7" xr3:uid="{00000000-0010-0000-0600-000007000000}" name="Lane Width_x000a_(ft)" dataDxfId="58"/>
    <tableColumn id="8" xr3:uid="{00000000-0010-0000-0600-000008000000}" name="Right Shoulder Clearing Width_x000a_(ft)" dataDxfId="57"/>
    <tableColumn id="11" xr3:uid="{00000000-0010-0000-0600-00000B000000}" name="Left Shoulder Clearing Width_x000a_(ft)" dataDxfId="56"/>
    <tableColumn id="9" xr3:uid="{00000000-0010-0000-0600-000009000000}" name="Number of_x000a_Lanes Cleared_x000a_to the Left (#)" dataDxfId="55"/>
  </tableColumns>
  <tableStyleInfo name="TableStyleLight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139111271513" displayName="Table139111271513" ref="B31:O34" totalsRowShown="0" headerRowDxfId="54" dataDxfId="53">
  <autoFilter ref="B31:O34" xr:uid="{00000000-0009-0000-0100-00000C000000}"/>
  <tableColumns count="14">
    <tableColumn id="1" xr3:uid="{00000000-0010-0000-0700-000001000000}" name="Back-up Node Name_x000a_(Name)" dataDxfId="52"/>
    <tableColumn id="6" xr3:uid="{00000000-0010-0000-0700-000006000000}" name=" Number of_x000a_Beginning Lanes" dataDxfId="51"/>
    <tableColumn id="7" xr3:uid="{00000000-0010-0000-0700-000007000000}" name=" Number of_x000a_Through_x000a_Lanes" dataDxfId="50"/>
    <tableColumn id="8" xr3:uid="{00000000-0010-0000-0700-000008000000}" name=" Number of_x000a_Ending Lanes" dataDxfId="49"/>
    <tableColumn id="11" xr3:uid="{00000000-0010-0000-0700-00000B000000}" name="Through Lanes Width (ft)" dataDxfId="48"/>
    <tableColumn id="9" xr3:uid="{00000000-0010-0000-0700-000009000000}" name="Right Through_x000a_ Shoulder Clear Width (ft)" dataDxfId="47"/>
    <tableColumn id="10" xr3:uid="{00000000-0010-0000-0700-00000A000000}" name="Left Through_x000a_ Shoulder Clear_x000a_Width (ft)" dataDxfId="46"/>
    <tableColumn id="2" xr3:uid="{00000000-0010-0000-0700-000002000000}" name="Number Through Lanes Cleared Left" dataDxfId="45"/>
    <tableColumn id="3" xr3:uid="{00000000-0010-0000-0700-000003000000}" name="Number of_x000a_Diverge Lanes" dataDxfId="44"/>
    <tableColumn id="15" xr3:uid="{00000000-0010-0000-0700-00000F000000}" name="Width of_x000a_Diverge Lanes (ft)" dataDxfId="43"/>
    <tableColumn id="4" xr3:uid="{00000000-0010-0000-0700-000004000000}" name="Right Diverge Shoulder Clear Width (ft)" dataDxfId="42"/>
    <tableColumn id="5" xr3:uid="{00000000-0010-0000-0700-000005000000}" name="Left Diverge_x000a_Shoulder Clear Width (ft)" dataDxfId="41"/>
    <tableColumn id="12" xr3:uid="{00000000-0010-0000-0700-00000C000000}" name="Number Diverge Lanes Cleared Left" dataDxfId="40"/>
    <tableColumn id="13" xr3:uid="{00000000-0010-0000-0700-00000D000000}" name="Windrow Mitigation Width (ft)" dataDxfId="39"/>
  </tableColumns>
  <tableStyleInfo name="TableStyleLight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1391112715138" displayName="Table1391112715138" ref="B12:M15" totalsRowShown="0" headerRowDxfId="38" dataDxfId="37">
  <autoFilter ref="B12:M15" xr:uid="{00000000-0009-0000-0100-000007000000}"/>
  <tableColumns count="12">
    <tableColumn id="1" xr3:uid="{00000000-0010-0000-0800-000001000000}" name="Back-up Node Name_x000a_(Name)" dataDxfId="36"/>
    <tableColumn id="6" xr3:uid="{00000000-0010-0000-0800-000006000000}" name=" Number of_x000a_Beginning Lanes" dataDxfId="35"/>
    <tableColumn id="7" xr3:uid="{00000000-0010-0000-0800-000007000000}" name=" Number of_x000a_Ending Lanes" dataDxfId="34"/>
    <tableColumn id="8" xr3:uid="{00000000-0010-0000-0800-000008000000}" name="Through_x000a_ Lane Width (ft)" dataDxfId="33"/>
    <tableColumn id="11" xr3:uid="{00000000-0010-0000-0800-00000B000000}" name="Right Through_x000a_ Shoulder Clear Width (ft)" dataDxfId="32"/>
    <tableColumn id="9" xr3:uid="{00000000-0010-0000-0800-000009000000}" name="Left Through_x000a_ Shoulder Clear_x000a_Width (ft)" dataDxfId="31"/>
    <tableColumn id="10" xr3:uid="{00000000-0010-0000-0800-00000A000000}" name="Number Through Lanes Cleared Left" dataDxfId="30"/>
    <tableColumn id="2" xr3:uid="{00000000-0010-0000-0800-000002000000}" name="Number of_x000a_Diverge Lanes" dataDxfId="29"/>
    <tableColumn id="3" xr3:uid="{00000000-0010-0000-0800-000003000000}" name="Width of_x000a_Diverge Lanes (ft)" dataDxfId="28"/>
    <tableColumn id="15" xr3:uid="{00000000-0010-0000-0800-00000F000000}" name="Right Diverge Shoulder Clear Width (ft)" dataDxfId="27"/>
    <tableColumn id="4" xr3:uid="{00000000-0010-0000-0800-000004000000}" name="Left Diverge_x000a_Shoulder Clear Width (ft)" dataDxfId="26"/>
    <tableColumn id="5" xr3:uid="{00000000-0010-0000-0800-000005000000}" name="Number Diverge Lanes Cleared Left" dataDxfId="25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N52"/>
  <sheetViews>
    <sheetView showGridLines="0" topLeftCell="A10" zoomScaleNormal="100" workbookViewId="0">
      <selection activeCell="P17" sqref="P17"/>
    </sheetView>
  </sheetViews>
  <sheetFormatPr defaultRowHeight="14.4" x14ac:dyDescent="0.3"/>
  <cols>
    <col min="1" max="1" width="9.109375" style="1"/>
    <col min="2" max="2" width="1.6640625" customWidth="1"/>
    <col min="3" max="6" width="10.6640625" customWidth="1"/>
    <col min="7" max="7" width="10.6640625" style="1" customWidth="1"/>
    <col min="8" max="11" width="10.6640625" customWidth="1"/>
    <col min="12" max="12" width="10.6640625" style="1" customWidth="1"/>
    <col min="14" max="14" width="29.33203125" style="1" customWidth="1"/>
    <col min="15" max="15" width="18.5546875" customWidth="1"/>
    <col min="16" max="16" width="17.44140625" customWidth="1"/>
    <col min="17" max="17" width="3.5546875" customWidth="1"/>
    <col min="18" max="18" width="16.109375" style="76" customWidth="1"/>
    <col min="19" max="19" width="16.88671875" style="76" customWidth="1"/>
    <col min="20" max="20" width="18.6640625" style="76" customWidth="1"/>
    <col min="21" max="21" width="13.6640625" style="76" customWidth="1"/>
    <col min="22" max="23" width="9.109375" style="75"/>
  </cols>
  <sheetData>
    <row r="1" spans="1:40" x14ac:dyDescent="0.3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2"/>
      <c r="Q1" s="12"/>
      <c r="R1" s="79"/>
      <c r="S1" s="75"/>
      <c r="T1" s="75"/>
      <c r="U1" s="75"/>
      <c r="X1" s="75"/>
      <c r="Y1" s="75"/>
      <c r="Z1" s="283"/>
      <c r="AA1" s="75"/>
      <c r="AB1" s="75"/>
      <c r="AC1" s="75"/>
      <c r="AD1" s="75"/>
    </row>
    <row r="2" spans="1:40" s="3" customFormat="1" ht="39.9" customHeight="1" x14ac:dyDescent="0.3">
      <c r="A2" s="47"/>
      <c r="B2" s="689" t="s">
        <v>189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12"/>
      <c r="Q2" s="52"/>
      <c r="R2" s="657"/>
      <c r="S2" s="657"/>
      <c r="T2" s="657"/>
      <c r="U2" s="657"/>
      <c r="V2" s="657"/>
      <c r="W2" s="658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</row>
    <row r="3" spans="1:40" s="1" customFormat="1" ht="9.9" customHeight="1" x14ac:dyDescent="0.6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2"/>
      <c r="N3" s="12"/>
      <c r="O3" s="12"/>
      <c r="P3" s="12"/>
      <c r="Q3" s="12"/>
      <c r="R3" s="292"/>
      <c r="S3" s="76"/>
      <c r="T3" s="76"/>
      <c r="U3" s="76"/>
      <c r="V3" s="76"/>
      <c r="W3" s="76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</row>
    <row r="4" spans="1:40" s="1" customFormat="1" ht="39" customHeight="1" x14ac:dyDescent="0.6">
      <c r="A4" s="11"/>
      <c r="B4" s="12"/>
      <c r="C4" s="696" t="s">
        <v>140</v>
      </c>
      <c r="D4" s="696"/>
      <c r="E4" s="696"/>
      <c r="F4" s="696"/>
      <c r="G4" s="696"/>
      <c r="H4" s="696"/>
      <c r="I4" s="696"/>
      <c r="J4" s="696"/>
      <c r="K4" s="696"/>
      <c r="L4" s="54"/>
      <c r="M4" s="12"/>
      <c r="N4" s="669" t="s">
        <v>18</v>
      </c>
      <c r="O4" s="669"/>
      <c r="P4" s="669"/>
      <c r="Q4" s="89"/>
      <c r="R4" s="595"/>
      <c r="S4" s="721" t="s">
        <v>231</v>
      </c>
      <c r="T4" s="721"/>
      <c r="U4" s="596"/>
      <c r="V4" s="596"/>
      <c r="W4" s="249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</row>
    <row r="5" spans="1:40" ht="9.9" customHeight="1" thickBot="1" x14ac:dyDescent="0.3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90"/>
      <c r="P5" s="90"/>
      <c r="Q5" s="90"/>
      <c r="R5" s="292"/>
      <c r="S5" s="249"/>
      <c r="T5" s="249"/>
      <c r="U5" s="249"/>
      <c r="V5" s="249"/>
      <c r="W5" s="249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</row>
    <row r="6" spans="1:40" ht="24" customHeight="1" thickBot="1" x14ac:dyDescent="0.35">
      <c r="A6" s="11"/>
      <c r="B6" s="12"/>
      <c r="C6" s="690" t="s">
        <v>19</v>
      </c>
      <c r="D6" s="691"/>
      <c r="E6" s="691"/>
      <c r="F6" s="692"/>
      <c r="G6" s="15"/>
      <c r="H6" s="693" t="s">
        <v>139</v>
      </c>
      <c r="I6" s="694"/>
      <c r="J6" s="694"/>
      <c r="K6" s="695"/>
      <c r="L6" s="12"/>
      <c r="M6" s="12"/>
      <c r="N6" s="288" t="s">
        <v>57</v>
      </c>
      <c r="O6" s="286" t="s">
        <v>232</v>
      </c>
      <c r="P6" s="285" t="s">
        <v>117</v>
      </c>
      <c r="Q6" s="90"/>
      <c r="R6" s="597" t="s">
        <v>118</v>
      </c>
      <c r="S6" s="598" t="s">
        <v>119</v>
      </c>
      <c r="T6" s="597" t="s">
        <v>230</v>
      </c>
      <c r="U6" s="599" t="s">
        <v>208</v>
      </c>
      <c r="V6" s="240"/>
      <c r="W6" s="249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</row>
    <row r="7" spans="1:40" s="1" customFormat="1" ht="20.100000000000001" customHeight="1" thickBot="1" x14ac:dyDescent="0.35">
      <c r="A7" s="11"/>
      <c r="B7" s="12"/>
      <c r="C7" s="698"/>
      <c r="D7" s="699"/>
      <c r="E7" s="699"/>
      <c r="F7" s="699"/>
      <c r="G7" s="14"/>
      <c r="H7" s="700"/>
      <c r="I7" s="700"/>
      <c r="J7" s="700"/>
      <c r="K7" s="700"/>
      <c r="L7" s="56"/>
      <c r="M7" s="12"/>
      <c r="N7" s="344" t="str">
        <f>IF('Plow Conf &amp; Procure'!B5=0,"",'Plow Conf &amp; Procure'!B5)</f>
        <v>12ft RH Head Plow</v>
      </c>
      <c r="O7" s="352">
        <f>IF('Plow Operating Cost'!Q5=0,"",'Plow Operating Cost'!Q5)</f>
        <v>876.88240418118471</v>
      </c>
      <c r="P7" s="294">
        <v>3</v>
      </c>
      <c r="Q7" s="91"/>
      <c r="R7" s="600">
        <f>'Plow Conf &amp; Procure'!M5</f>
        <v>12</v>
      </c>
      <c r="S7" s="601">
        <f>'Plow Conf &amp; Procure'!N5</f>
        <v>0</v>
      </c>
      <c r="T7" s="602">
        <f>'Plow Operating Cost'!Q5</f>
        <v>876.88240418118471</v>
      </c>
      <c r="U7" s="603">
        <f>IF(OR('User Interface'!$P7&lt;&gt;0,'User Interface'!$P7&lt;&gt;""),'Plow Operating Cost'!M5,"")</f>
        <v>45</v>
      </c>
      <c r="V7" s="240"/>
      <c r="W7" s="249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</row>
    <row r="8" spans="1:40" s="1" customFormat="1" ht="20.100000000000001" customHeight="1" thickBot="1" x14ac:dyDescent="0.35">
      <c r="A8" s="11"/>
      <c r="B8" s="12"/>
      <c r="C8" s="99"/>
      <c r="D8" s="100"/>
      <c r="E8" s="100"/>
      <c r="F8" s="100"/>
      <c r="G8" s="100"/>
      <c r="H8" s="99"/>
      <c r="I8" s="99"/>
      <c r="J8" s="99"/>
      <c r="K8" s="99"/>
      <c r="L8" s="99"/>
      <c r="M8" s="12"/>
      <c r="N8" s="345" t="str">
        <f>IF('Plow Conf &amp; Procure'!B6=0,"",'Plow Conf &amp; Procure'!B6)</f>
        <v xml:space="preserve">10ft-Revs. Head Plow </v>
      </c>
      <c r="O8" s="353">
        <f>IF('Plow Operating Cost'!Q6=0,"",'Plow Operating Cost'!Q6)</f>
        <v>863.49825783972119</v>
      </c>
      <c r="P8" s="295">
        <v>3</v>
      </c>
      <c r="Q8" s="91"/>
      <c r="R8" s="600">
        <f>'Plow Conf &amp; Procure'!M6</f>
        <v>10</v>
      </c>
      <c r="S8" s="601">
        <f>'Plow Conf &amp; Procure'!N6</f>
        <v>10</v>
      </c>
      <c r="T8" s="602">
        <f>'Plow Operating Cost'!Q6</f>
        <v>863.49825783972119</v>
      </c>
      <c r="U8" s="603">
        <f>IF(OR('User Interface'!$P8&lt;&gt;0,'User Interface'!$P8&lt;&gt;""),'Plow Operating Cost'!M6,"")</f>
        <v>45</v>
      </c>
      <c r="V8" s="240"/>
      <c r="W8" s="249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</row>
    <row r="9" spans="1:40" ht="20.100000000000001" customHeight="1" thickBot="1" x14ac:dyDescent="0.35">
      <c r="A9" s="11"/>
      <c r="B9" s="12"/>
      <c r="C9" s="59"/>
      <c r="D9" s="59"/>
      <c r="E9" s="59"/>
      <c r="F9" s="59"/>
      <c r="G9" s="16"/>
      <c r="H9" s="59"/>
      <c r="I9" s="59"/>
      <c r="J9" s="697"/>
      <c r="K9" s="697"/>
      <c r="L9" s="55"/>
      <c r="M9" s="12"/>
      <c r="N9" s="344" t="str">
        <f>IF('Plow Conf &amp; Procure'!B7=0,"",'Plow Conf &amp; Procure'!B7)</f>
        <v>12ft Belly Plow</v>
      </c>
      <c r="O9" s="352">
        <f>IF('Plow Operating Cost'!Q7=0,"",'Plow Operating Cost'!Q7)</f>
        <v>891.72125435540067</v>
      </c>
      <c r="P9" s="296"/>
      <c r="Q9" s="91"/>
      <c r="R9" s="600">
        <f>'Plow Conf &amp; Procure'!M7</f>
        <v>12</v>
      </c>
      <c r="S9" s="601">
        <f>'Plow Conf &amp; Procure'!N7</f>
        <v>12</v>
      </c>
      <c r="T9" s="602">
        <f>'Plow Operating Cost'!Q7</f>
        <v>891.72125435540067</v>
      </c>
      <c r="U9" s="603" t="str">
        <f>IF(OR('User Interface'!$P9&lt;&gt;0,'User Interface'!$P9&lt;&gt;""),'Plow Operating Cost'!M7,"")</f>
        <v/>
      </c>
      <c r="V9" s="240"/>
      <c r="W9" s="249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</row>
    <row r="10" spans="1:40" s="1" customFormat="1" ht="20.100000000000001" customHeight="1" thickBot="1" x14ac:dyDescent="0.35">
      <c r="A10" s="11"/>
      <c r="B10" s="12"/>
      <c r="C10" s="59"/>
      <c r="D10" s="59"/>
      <c r="E10" s="59"/>
      <c r="F10" s="59"/>
      <c r="G10" s="98"/>
      <c r="H10" s="59"/>
      <c r="I10" s="59"/>
      <c r="J10" s="697"/>
      <c r="K10" s="697"/>
      <c r="L10" s="98"/>
      <c r="M10" s="287"/>
      <c r="N10" s="346" t="str">
        <f>IF('Plow Conf &amp; Procure'!B11=0,"",'Plow Conf &amp; Procure'!B11)</f>
        <v>Tele Plow</v>
      </c>
      <c r="O10" s="354">
        <f>IF('Plow Operating Cost'!Q8=0,"",'Plow Operating Cost'!Q8)</f>
        <v>1196.815668202765</v>
      </c>
      <c r="P10" s="297"/>
      <c r="Q10" s="91"/>
      <c r="R10" s="600">
        <f>'Plow Conf &amp; Procure'!N11</f>
        <v>24</v>
      </c>
      <c r="S10" s="601">
        <f>'Plow Conf &amp; Procure'!O11</f>
        <v>0</v>
      </c>
      <c r="T10" s="602">
        <f>'Plow Operating Cost'!Q8</f>
        <v>1196.815668202765</v>
      </c>
      <c r="U10" s="603" t="str">
        <f>IF(OR('User Interface'!$P10&lt;&gt;0,'User Interface'!$P10&lt;&gt;""),'Plow Operating Cost'!M8,"")</f>
        <v/>
      </c>
      <c r="V10" s="240"/>
      <c r="W10" s="249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</row>
    <row r="11" spans="1:40" ht="20.100000000000001" customHeight="1" thickBot="1" x14ac:dyDescent="0.35">
      <c r="A11" s="11"/>
      <c r="B11" s="12"/>
      <c r="C11" s="59"/>
      <c r="D11" s="59"/>
      <c r="E11" s="59"/>
      <c r="F11" s="59"/>
      <c r="G11" s="16"/>
      <c r="H11" s="59"/>
      <c r="I11" s="59"/>
      <c r="J11" s="697"/>
      <c r="K11" s="697"/>
      <c r="L11" s="55"/>
      <c r="M11" s="12"/>
      <c r="N11" s="345" t="str">
        <f>IF('Plow Conf &amp; Procure'!B12=0,"",'Plow Conf &amp; Procure'!B12)</f>
        <v/>
      </c>
      <c r="O11" s="353" t="str">
        <f>IF('Plow Operating Cost'!Q9=0,"",'Plow Operating Cost'!Q9)</f>
        <v/>
      </c>
      <c r="P11" s="284"/>
      <c r="Q11" s="91"/>
      <c r="R11" s="600" t="str">
        <f>'Plow Conf &amp; Procure'!N12</f>
        <v/>
      </c>
      <c r="S11" s="601">
        <f>'Plow Conf &amp; Procure'!O12</f>
        <v>0</v>
      </c>
      <c r="T11" s="602">
        <f>'Plow Operating Cost'!Q9</f>
        <v>0</v>
      </c>
      <c r="U11" s="603" t="str">
        <f>IF(OR('User Interface'!$P11&lt;&gt;0,'User Interface'!$P11&lt;&gt;""),'Plow Operating Cost'!M9,"")</f>
        <v/>
      </c>
      <c r="V11" s="240"/>
      <c r="W11" s="249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</row>
    <row r="12" spans="1:40" s="1" customFormat="1" ht="20.100000000000001" customHeight="1" thickBot="1" x14ac:dyDescent="0.35">
      <c r="A12" s="11"/>
      <c r="B12" s="12"/>
      <c r="C12" s="59"/>
      <c r="D12" s="59"/>
      <c r="E12" s="59"/>
      <c r="F12" s="59"/>
      <c r="G12" s="98"/>
      <c r="H12" s="59"/>
      <c r="I12" s="59"/>
      <c r="J12" s="697"/>
      <c r="K12" s="697"/>
      <c r="L12" s="98"/>
      <c r="M12" s="12"/>
      <c r="N12" s="347" t="str">
        <f>'Plow Conf &amp; Procure'!B16</f>
        <v>10ft Revs. - 8ft LH Wing</v>
      </c>
      <c r="O12" s="355">
        <f>IF('Plow Operating Cost'!Q10=0,"",'Plow Operating Cost'!Q10)</f>
        <v>1166.6036585365855</v>
      </c>
      <c r="P12" s="298">
        <v>2</v>
      </c>
      <c r="Q12" s="91"/>
      <c r="R12" s="600">
        <f>'Plow Conf &amp; Procure'!N16</f>
        <v>10</v>
      </c>
      <c r="S12" s="601">
        <f>'Plow Conf &amp; Procure'!O16</f>
        <v>16</v>
      </c>
      <c r="T12" s="602">
        <f>'Plow Operating Cost'!Q10</f>
        <v>1166.6036585365855</v>
      </c>
      <c r="U12" s="603">
        <f>IF(OR('User Interface'!$P12&lt;&gt;0,'User Interface'!$P12&lt;&gt;""),'Plow Operating Cost'!M10,"")</f>
        <v>45</v>
      </c>
      <c r="V12" s="240"/>
      <c r="W12" s="249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</row>
    <row r="13" spans="1:40" s="1" customFormat="1" ht="20.100000000000001" customHeight="1" thickBot="1" x14ac:dyDescent="0.35">
      <c r="A13" s="11"/>
      <c r="B13" s="12"/>
      <c r="C13" s="59"/>
      <c r="D13" s="59"/>
      <c r="E13" s="59"/>
      <c r="F13" s="59"/>
      <c r="G13" s="98"/>
      <c r="H13" s="59"/>
      <c r="I13" s="59"/>
      <c r="J13" s="697"/>
      <c r="K13" s="697"/>
      <c r="L13" s="98"/>
      <c r="M13" s="287"/>
      <c r="N13" s="348" t="str">
        <f>IF('Plow Conf &amp; Procure'!B17=0,"",'Plow Conf &amp; Procure'!B17)</f>
        <v>12ft R. - 8ft RH Wing</v>
      </c>
      <c r="O13" s="353">
        <f>IF('Plow Operating Cost'!Q11=0,"",'Plow Operating Cost'!Q11)</f>
        <v>1189.9790940766552</v>
      </c>
      <c r="P13" s="284"/>
      <c r="Q13" s="91"/>
      <c r="R13" s="600">
        <f>'Plow Conf &amp; Procure'!N17</f>
        <v>18</v>
      </c>
      <c r="S13" s="601">
        <f>'Plow Conf &amp; Procure'!O17</f>
        <v>0</v>
      </c>
      <c r="T13" s="602">
        <f>'Plow Operating Cost'!Q11</f>
        <v>1189.9790940766552</v>
      </c>
      <c r="U13" s="603" t="str">
        <f>IF(OR('User Interface'!$P13&lt;&gt;0,'User Interface'!$P13&lt;&gt;""),'Plow Operating Cost'!M11,"")</f>
        <v/>
      </c>
      <c r="V13" s="240"/>
      <c r="W13" s="249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</row>
    <row r="14" spans="1:40" s="1" customFormat="1" ht="20.100000000000001" customHeight="1" thickBot="1" x14ac:dyDescent="0.35">
      <c r="A14" s="11"/>
      <c r="B14" s="12"/>
      <c r="C14" s="59"/>
      <c r="D14" s="59"/>
      <c r="E14" s="59"/>
      <c r="F14" s="59"/>
      <c r="G14" s="98"/>
      <c r="H14" s="59"/>
      <c r="I14" s="59"/>
      <c r="J14" s="697"/>
      <c r="K14" s="697"/>
      <c r="L14" s="98"/>
      <c r="M14" s="12"/>
      <c r="N14" s="349" t="str">
        <f>IF('Plow Conf &amp; Procure'!B18=0,"",'Plow Conf &amp; Procure'!B18)</f>
        <v>10 Revs. -8ft Wing</v>
      </c>
      <c r="O14" s="355">
        <f>IF('Plow Operating Cost'!Q12=0,"",'Plow Operating Cost'!Q12)</f>
        <v>1195.6106271777003</v>
      </c>
      <c r="P14" s="298"/>
      <c r="Q14" s="91"/>
      <c r="R14" s="600">
        <f>'Plow Conf &amp; Procure'!N18</f>
        <v>16</v>
      </c>
      <c r="S14" s="601">
        <f>'Plow Conf &amp; Procure'!O18</f>
        <v>10</v>
      </c>
      <c r="T14" s="602">
        <f>'Plow Operating Cost'!Q12</f>
        <v>1195.6106271777003</v>
      </c>
      <c r="U14" s="603" t="str">
        <f>IF(OR('User Interface'!$P14&lt;&gt;0,'User Interface'!$P14&lt;&gt;""),'Plow Operating Cost'!M12,"")</f>
        <v/>
      </c>
      <c r="V14" s="240"/>
      <c r="W14" s="249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1:40" s="1" customFormat="1" ht="20.100000000000001" customHeight="1" thickBot="1" x14ac:dyDescent="0.35">
      <c r="A15" s="11"/>
      <c r="B15" s="12"/>
      <c r="C15" s="59"/>
      <c r="D15" s="59"/>
      <c r="E15" s="59"/>
      <c r="F15" s="59"/>
      <c r="G15" s="98"/>
      <c r="H15" s="59"/>
      <c r="I15" s="59"/>
      <c r="J15" s="697"/>
      <c r="K15" s="697"/>
      <c r="L15" s="98"/>
      <c r="M15" s="12"/>
      <c r="N15" s="348" t="str">
        <f>IF('Plow Conf &amp; Procure'!B19=0,"",'Plow Conf &amp; Procure'!B19)</f>
        <v/>
      </c>
      <c r="O15" s="353" t="str">
        <f>IF('Plow Operating Cost'!Q13=0,"",'Plow Operating Cost'!Q13)</f>
        <v/>
      </c>
      <c r="P15" s="284"/>
      <c r="Q15" s="91"/>
      <c r="R15" s="600">
        <f>'Plow Conf &amp; Procure'!M19</f>
        <v>0</v>
      </c>
      <c r="S15" s="601">
        <f>'Plow Conf &amp; Procure'!O19</f>
        <v>0</v>
      </c>
      <c r="T15" s="602">
        <f>'Plow Operating Cost'!Q13</f>
        <v>0</v>
      </c>
      <c r="U15" s="603" t="str">
        <f>IF(OR('User Interface'!$P15&lt;&gt;0,'User Interface'!$P15&lt;&gt;""),'Plow Operating Cost'!M13,"")</f>
        <v/>
      </c>
      <c r="V15" s="240"/>
      <c r="W15" s="249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</row>
    <row r="16" spans="1:40" s="1" customFormat="1" ht="20.100000000000001" customHeight="1" thickBot="1" x14ac:dyDescent="0.35">
      <c r="A16" s="11"/>
      <c r="B16" s="12"/>
      <c r="C16" s="59"/>
      <c r="D16" s="59"/>
      <c r="E16" s="59"/>
      <c r="F16" s="59"/>
      <c r="G16" s="16"/>
      <c r="H16" s="59"/>
      <c r="I16" s="59"/>
      <c r="J16" s="697"/>
      <c r="K16" s="697"/>
      <c r="L16" s="55"/>
      <c r="M16" s="12"/>
      <c r="N16" s="349" t="str">
        <f>IF('Plow Conf &amp; Procure'!B20=0,"",'Plow Conf &amp; Procure'!B20)</f>
        <v/>
      </c>
      <c r="O16" s="355" t="str">
        <f>IF('Plow Operating Cost'!Q14=0,"",'Plow Operating Cost'!Q14)</f>
        <v/>
      </c>
      <c r="P16" s="298"/>
      <c r="Q16" s="91"/>
      <c r="R16" s="600">
        <f>'Plow Conf &amp; Procure'!M20</f>
        <v>0</v>
      </c>
      <c r="S16" s="601">
        <f>'Plow Conf &amp; Procure'!N20</f>
        <v>0</v>
      </c>
      <c r="T16" s="602">
        <f>'Plow Operating Cost'!Q14</f>
        <v>0</v>
      </c>
      <c r="U16" s="603" t="str">
        <f>IF(OR('User Interface'!$P16&lt;&gt;0,'User Interface'!$P16&lt;&gt;""),'Plow Operating Cost'!M14,"")</f>
        <v/>
      </c>
      <c r="V16" s="240"/>
      <c r="W16" s="249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</row>
    <row r="17" spans="1:40" s="1" customFormat="1" ht="20.100000000000001" customHeight="1" thickBot="1" x14ac:dyDescent="0.35">
      <c r="A17" s="11"/>
      <c r="B17" s="12"/>
      <c r="C17" s="59"/>
      <c r="D17" s="59"/>
      <c r="E17" s="59"/>
      <c r="F17" s="59"/>
      <c r="G17" s="98"/>
      <c r="H17" s="59"/>
      <c r="I17" s="59"/>
      <c r="J17" s="697"/>
      <c r="K17" s="697"/>
      <c r="L17" s="98"/>
      <c r="M17" s="287"/>
      <c r="N17" s="350" t="str">
        <f>IF('Plow Conf &amp; Procure'!B24=0,"",'Plow Conf &amp; Procure'!B24)</f>
        <v>12ft-RH w/Tow Plow</v>
      </c>
      <c r="O17" s="356">
        <f>IF('Plow Operating Cost'!Q15=0,"",'Plow Operating Cost'!Q15)</f>
        <v>1647.6141114982579</v>
      </c>
      <c r="P17" s="299">
        <v>1</v>
      </c>
      <c r="Q17" s="91"/>
      <c r="R17" s="600">
        <f>'Plow Conf &amp; Procure'!N24</f>
        <v>24</v>
      </c>
      <c r="S17" s="601">
        <f>'Plow Conf &amp; Procure'!O24</f>
        <v>12</v>
      </c>
      <c r="T17" s="602">
        <f>'Plow Operating Cost'!Q15</f>
        <v>1647.6141114982579</v>
      </c>
      <c r="U17" s="603">
        <f>IF(OR('User Interface'!$P17&lt;&gt;0,'User Interface'!$P17&lt;&gt;""),'Plow Operating Cost'!M15,"")</f>
        <v>45</v>
      </c>
      <c r="V17" s="240"/>
      <c r="W17" s="249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</row>
    <row r="18" spans="1:40" ht="20.100000000000001" customHeight="1" thickBot="1" x14ac:dyDescent="0.35">
      <c r="A18" s="11"/>
      <c r="B18" s="12"/>
      <c r="C18" s="59"/>
      <c r="D18" s="59"/>
      <c r="E18" s="59"/>
      <c r="F18" s="59"/>
      <c r="G18" s="16"/>
      <c r="H18" s="59"/>
      <c r="I18" s="59"/>
      <c r="J18" s="697"/>
      <c r="K18" s="697"/>
      <c r="L18" s="55"/>
      <c r="M18" s="12"/>
      <c r="N18" s="345" t="str">
        <f>IF('Plow Conf &amp; Procure'!B25=0,"",'Plow Conf &amp; Procure'!B25)</f>
        <v/>
      </c>
      <c r="O18" s="353" t="str">
        <f>IF('Plow Operating Cost'!Q16=0,"",'Plow Operating Cost'!Q16)</f>
        <v/>
      </c>
      <c r="P18" s="284"/>
      <c r="Q18" s="90"/>
      <c r="R18" s="600">
        <f>'Plow Conf &amp; Procure'!N25</f>
        <v>0</v>
      </c>
      <c r="S18" s="601">
        <f>'Plow Conf &amp; Procure'!O25</f>
        <v>0</v>
      </c>
      <c r="T18" s="602">
        <f>'Plow Operating Cost'!Q16</f>
        <v>0</v>
      </c>
      <c r="U18" s="603" t="str">
        <f>IF(OR('User Interface'!$P18&lt;&gt;0,'User Interface'!$P18&lt;&gt;""),'Plow Operating Cost'!M16,"")</f>
        <v/>
      </c>
      <c r="V18" s="240"/>
      <c r="W18" s="249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</row>
    <row r="19" spans="1:40" ht="20.100000000000001" customHeight="1" thickBot="1" x14ac:dyDescent="0.3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87"/>
      <c r="N19" s="350" t="str">
        <f>IF('Plow Conf &amp; Procure'!B26=0,"",'Plow Conf &amp; Procure'!B26)</f>
        <v>12ft Revs-Bi-Di Tow Plow</v>
      </c>
      <c r="O19" s="356">
        <f>IF('Plow Operating Cost'!Q17=0,"",'Plow Operating Cost'!Q17)</f>
        <v>1709.4608013937282</v>
      </c>
      <c r="P19" s="299"/>
      <c r="Q19" s="91"/>
      <c r="R19" s="600">
        <f>'Plow Conf &amp; Procure'!N26</f>
        <v>24</v>
      </c>
      <c r="S19" s="601">
        <f>'Plow Conf &amp; Procure'!O26</f>
        <v>24</v>
      </c>
      <c r="T19" s="602">
        <f>'Plow Operating Cost'!Q17</f>
        <v>1709.4608013937282</v>
      </c>
      <c r="U19" s="603" t="str">
        <f>IF(OR('User Interface'!$P19&lt;&gt;0,'User Interface'!$P19&lt;&gt;""),'Plow Operating Cost'!M17,"")</f>
        <v/>
      </c>
      <c r="V19" s="240"/>
      <c r="W19" s="249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</row>
    <row r="20" spans="1:40" s="1" customFormat="1" ht="20.100000000000001" customHeight="1" thickBot="1" x14ac:dyDescent="0.35">
      <c r="A20" s="11"/>
      <c r="B20" s="12"/>
      <c r="C20" s="12"/>
      <c r="D20" s="12"/>
      <c r="E20" s="12"/>
      <c r="F20" s="12"/>
      <c r="G20" s="12"/>
      <c r="H20" s="12"/>
      <c r="I20" s="12"/>
      <c r="J20" s="59"/>
      <c r="K20" s="59"/>
      <c r="L20" s="12"/>
      <c r="M20" s="12"/>
      <c r="N20" s="351" t="str">
        <f>IF('Plow Conf &amp; Procure'!B30=0,"",'Plow Conf &amp; Procure'!B30)</f>
        <v>[12ft Plow - 10ft Wing - TP]</v>
      </c>
      <c r="O20" s="357">
        <f>IF('Plow Operating Cost'!Q18=0,"",'Plow Operating Cost'!Q18)</f>
        <v>1735.4921602787456</v>
      </c>
      <c r="P20" s="300"/>
      <c r="Q20" s="91"/>
      <c r="R20" s="600">
        <f>'Plow Conf &amp; Procure'!Q30</f>
        <v>24</v>
      </c>
      <c r="S20" s="601">
        <f>'Plow Conf &amp; Procure'!R30</f>
        <v>16</v>
      </c>
      <c r="T20" s="602">
        <f>'Plow Operating Cost'!Q18</f>
        <v>1735.4921602787456</v>
      </c>
      <c r="U20" s="603" t="str">
        <f>IF(OR('User Interface'!$P20&lt;&gt;0,'User Interface'!$P20&lt;&gt;""),'Plow Operating Cost'!M18,"")</f>
        <v/>
      </c>
      <c r="V20" s="240"/>
      <c r="W20" s="249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</row>
    <row r="21" spans="1:40" s="1" customFormat="1" ht="20.100000000000001" customHeight="1" thickBot="1" x14ac:dyDescent="0.3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591" t="str">
        <f>IF('Plow Conf &amp; Procure'!B31=0,"",'Plow Conf &amp; Procure'!B31)</f>
        <v>12ft Revs. - 8ft Dbl Wing - R</v>
      </c>
      <c r="O21" s="592">
        <f>IF('Plow Operating Cost'!Q20=0,"",'Plow Operating Cost'!Q20)</f>
        <v>1606.6733449477351</v>
      </c>
      <c r="P21" s="593"/>
      <c r="Q21" s="91"/>
      <c r="R21" s="600">
        <f>'Plow Conf &amp; Procure'!Q31</f>
        <v>18</v>
      </c>
      <c r="S21" s="601">
        <f>'Plow Conf &amp; Procure'!R31</f>
        <v>10</v>
      </c>
      <c r="T21" s="602">
        <f>'Plow Operating Cost'!Q20</f>
        <v>1606.6733449477351</v>
      </c>
      <c r="U21" s="603" t="str">
        <f>IF(OR('User Interface'!$P21&lt;&gt;0,'User Interface'!$P21&lt;&gt;""),'Plow Operating Cost'!M20,"")</f>
        <v/>
      </c>
      <c r="V21" s="240"/>
      <c r="W21" s="249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</row>
    <row r="22" spans="1:40" ht="20.100000000000001" customHeight="1" thickBot="1" x14ac:dyDescent="0.3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591" t="str">
        <f>IF('Plow Conf &amp; Procure'!B32=0,"",'Plow Conf &amp; Procure'!B32)</f>
        <v>12ft Revs. - 8ft Dbl Wing - L</v>
      </c>
      <c r="O22" s="592">
        <f>IF('Plow Operating Cost'!Q20=0,"",'Plow Operating Cost'!Q20)</f>
        <v>1606.6733449477351</v>
      </c>
      <c r="P22" s="594"/>
      <c r="Q22" s="91"/>
      <c r="R22" s="600">
        <f>'Plow Conf &amp; Procure'!Q32</f>
        <v>10</v>
      </c>
      <c r="S22" s="601">
        <f>'Plow Conf &amp; Procure'!R32</f>
        <v>18</v>
      </c>
      <c r="T22" s="602">
        <f>'Plow Operating Cost'!Q20</f>
        <v>1606.6733449477351</v>
      </c>
      <c r="U22" s="603" t="str">
        <f>IF(OR('User Interface'!$P22&lt;&gt;0,'User Interface'!$P22&lt;&gt;""),'Plow Operating Cost'!M20,"")</f>
        <v/>
      </c>
      <c r="V22" s="240"/>
      <c r="W22" s="249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</row>
    <row r="23" spans="1:40" ht="20.100000000000001" customHeight="1" x14ac:dyDescent="0.3">
      <c r="A23" s="11"/>
      <c r="B23" s="12"/>
      <c r="C23" s="696" t="s">
        <v>137</v>
      </c>
      <c r="D23" s="696"/>
      <c r="E23" s="696"/>
      <c r="F23" s="696"/>
      <c r="G23" s="696"/>
      <c r="H23" s="696"/>
      <c r="I23" s="696"/>
      <c r="J23" s="696"/>
      <c r="K23" s="696"/>
      <c r="L23" s="696"/>
      <c r="M23" s="12"/>
      <c r="N23" s="12"/>
      <c r="O23" s="51"/>
      <c r="P23" s="51"/>
      <c r="Q23" s="12"/>
      <c r="R23" s="293"/>
      <c r="S23" s="240"/>
      <c r="T23" s="604" t="s">
        <v>225</v>
      </c>
      <c r="U23" s="603">
        <f>'Diverge Left'!C2</f>
        <v>45</v>
      </c>
      <c r="V23" s="240"/>
      <c r="W23" s="249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</row>
    <row r="24" spans="1:40" s="1" customFormat="1" ht="30" customHeight="1" x14ac:dyDescent="0.6">
      <c r="A24" s="11"/>
      <c r="B24" s="12"/>
      <c r="C24" s="696"/>
      <c r="D24" s="696"/>
      <c r="E24" s="696"/>
      <c r="F24" s="696"/>
      <c r="G24" s="696"/>
      <c r="H24" s="696"/>
      <c r="I24" s="696"/>
      <c r="J24" s="696"/>
      <c r="K24" s="696"/>
      <c r="L24" s="696"/>
      <c r="M24" s="12"/>
      <c r="N24" s="667" t="s">
        <v>138</v>
      </c>
      <c r="O24" s="667"/>
      <c r="P24" s="667"/>
      <c r="Q24" s="656"/>
      <c r="R24" s="605"/>
      <c r="S24" s="606"/>
      <c r="T24" s="604" t="s">
        <v>226</v>
      </c>
      <c r="U24" s="603">
        <f>'Diverge Right'!C2</f>
        <v>45</v>
      </c>
      <c r="V24" s="606"/>
      <c r="W24" s="249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</row>
    <row r="25" spans="1:40" s="1" customFormat="1" ht="6" customHeight="1" thickBot="1" x14ac:dyDescent="0.65">
      <c r="A25" s="11"/>
      <c r="B25" s="12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2"/>
      <c r="N25" s="668"/>
      <c r="O25" s="668"/>
      <c r="P25" s="668"/>
      <c r="Q25" s="656"/>
      <c r="R25" s="605"/>
      <c r="S25" s="606"/>
      <c r="T25" s="606"/>
      <c r="U25" s="606"/>
      <c r="V25" s="606"/>
      <c r="W25" s="249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" customFormat="1" ht="20.100000000000001" customHeight="1" x14ac:dyDescent="0.3">
      <c r="A26" s="11"/>
      <c r="B26" s="12"/>
      <c r="C26" s="687" t="s">
        <v>133</v>
      </c>
      <c r="D26" s="688"/>
      <c r="E26" s="688"/>
      <c r="F26" s="686"/>
      <c r="G26" s="686"/>
      <c r="H26" s="685" t="s">
        <v>201</v>
      </c>
      <c r="I26" s="685"/>
      <c r="J26" s="12"/>
      <c r="K26" s="12"/>
      <c r="L26" s="12"/>
      <c r="M26" s="12"/>
      <c r="N26" s="673" t="s">
        <v>209</v>
      </c>
      <c r="O26" s="674"/>
      <c r="P26" s="358">
        <f>U29</f>
        <v>5</v>
      </c>
      <c r="Q26" s="53"/>
      <c r="R26" s="597" t="s">
        <v>120</v>
      </c>
      <c r="S26" s="240"/>
      <c r="T26" s="604" t="s">
        <v>227</v>
      </c>
      <c r="U26" s="603">
        <f>'Right Through'!C2</f>
        <v>45</v>
      </c>
      <c r="V26" s="240"/>
      <c r="W26" s="249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</row>
    <row r="27" spans="1:40" ht="20.100000000000001" customHeight="1" x14ac:dyDescent="0.3">
      <c r="A27" s="11"/>
      <c r="B27" s="12"/>
      <c r="C27" s="679" t="str">
        <f>'Right Through'!D2</f>
        <v>10ft-Revs. Head Plow  + 12ft-RH w/Tow Plow</v>
      </c>
      <c r="D27" s="679"/>
      <c r="E27" s="679"/>
      <c r="F27" s="679"/>
      <c r="G27" s="679"/>
      <c r="H27" s="679"/>
      <c r="I27" s="61">
        <f>'Right Through'!A2</f>
        <v>2511.1124</v>
      </c>
      <c r="J27" s="53"/>
      <c r="K27" s="58"/>
      <c r="L27" s="58"/>
      <c r="M27" s="12"/>
      <c r="N27" s="671" t="s">
        <v>128</v>
      </c>
      <c r="O27" s="672"/>
      <c r="P27" s="359">
        <f>'Define Route'!K5</f>
        <v>14</v>
      </c>
      <c r="Q27" s="53"/>
      <c r="R27" s="607" t="s">
        <v>121</v>
      </c>
      <c r="S27" s="240"/>
      <c r="T27" s="604" t="s">
        <v>228</v>
      </c>
      <c r="U27" s="603">
        <f>'Right Through'!C2</f>
        <v>45</v>
      </c>
      <c r="V27" s="240"/>
      <c r="W27" s="249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</row>
    <row r="28" spans="1:40" ht="20.100000000000001" customHeight="1" x14ac:dyDescent="0.35">
      <c r="A28" s="11"/>
      <c r="B28" s="12"/>
      <c r="C28" s="12"/>
      <c r="D28" s="680" t="s">
        <v>134</v>
      </c>
      <c r="E28" s="681"/>
      <c r="F28" s="681"/>
      <c r="G28" s="12"/>
      <c r="H28" s="12"/>
      <c r="I28" s="685" t="s">
        <v>201</v>
      </c>
      <c r="J28" s="685"/>
      <c r="K28" s="12"/>
      <c r="L28" s="12"/>
      <c r="M28" s="12"/>
      <c r="N28" s="675" t="s">
        <v>216</v>
      </c>
      <c r="O28" s="676"/>
      <c r="P28" s="360">
        <f>'Define Route'!L5</f>
        <v>14</v>
      </c>
      <c r="Q28" s="53"/>
      <c r="R28" s="607" t="s">
        <v>122</v>
      </c>
      <c r="S28" s="240"/>
      <c r="T28" s="608" t="s">
        <v>210</v>
      </c>
      <c r="U28" s="609">
        <f>MIN(U23,U24,U26,U27)</f>
        <v>45</v>
      </c>
      <c r="V28" s="240"/>
      <c r="W28" s="249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</row>
    <row r="29" spans="1:40" ht="20.100000000000001" customHeight="1" x14ac:dyDescent="0.35">
      <c r="A29" s="11"/>
      <c r="B29" s="12"/>
      <c r="C29" s="12"/>
      <c r="D29" s="679" t="str">
        <f>'Left Through'!D2</f>
        <v>10ft Revs. - 8ft LH Wing</v>
      </c>
      <c r="E29" s="679"/>
      <c r="F29" s="679"/>
      <c r="G29" s="679"/>
      <c r="H29" s="679"/>
      <c r="I29" s="679"/>
      <c r="J29" s="61">
        <f>'Left Through'!A2</f>
        <v>1166.6036999999999</v>
      </c>
      <c r="K29" s="53"/>
      <c r="L29" s="60"/>
      <c r="M29" s="12"/>
      <c r="N29" s="671" t="s">
        <v>129</v>
      </c>
      <c r="O29" s="672"/>
      <c r="P29" s="361">
        <f>'Define Route'!N13</f>
        <v>9</v>
      </c>
      <c r="Q29" s="53"/>
      <c r="R29" s="607" t="s">
        <v>121</v>
      </c>
      <c r="S29" s="240"/>
      <c r="T29" s="610" t="s">
        <v>191</v>
      </c>
      <c r="U29" s="611">
        <f>'Define Route'!K9</f>
        <v>5</v>
      </c>
      <c r="V29" s="240"/>
      <c r="W29" s="249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</row>
    <row r="30" spans="1:40" s="1" customFormat="1" ht="20.100000000000001" customHeight="1" x14ac:dyDescent="0.35">
      <c r="A30" s="11"/>
      <c r="B30" s="12"/>
      <c r="C30" s="12"/>
      <c r="D30" s="12"/>
      <c r="E30" s="682" t="s">
        <v>135</v>
      </c>
      <c r="F30" s="683"/>
      <c r="G30" s="683"/>
      <c r="H30" s="57"/>
      <c r="I30" s="12"/>
      <c r="J30" s="685" t="s">
        <v>201</v>
      </c>
      <c r="K30" s="685"/>
      <c r="L30" s="12"/>
      <c r="M30" s="12"/>
      <c r="N30" s="677" t="s">
        <v>130</v>
      </c>
      <c r="O30" s="678"/>
      <c r="P30" s="360">
        <f>'Define Route'!O13</f>
        <v>9</v>
      </c>
      <c r="Q30" s="53"/>
      <c r="R30" s="607" t="s">
        <v>122</v>
      </c>
      <c r="S30" s="240"/>
      <c r="T30" s="610" t="s">
        <v>192</v>
      </c>
      <c r="U30" s="612">
        <f>'Define Route'!K17</f>
        <v>0.15</v>
      </c>
      <c r="V30" s="240"/>
      <c r="W30" s="249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</row>
    <row r="31" spans="1:40" s="1" customFormat="1" ht="20.100000000000001" customHeight="1" thickBot="1" x14ac:dyDescent="0.35">
      <c r="A31" s="11"/>
      <c r="B31" s="12"/>
      <c r="C31" s="12"/>
      <c r="D31" s="12"/>
      <c r="E31" s="679" t="str">
        <f>'Diverge Right'!D2</f>
        <v xml:space="preserve">10ft-Revs. Head Plow </v>
      </c>
      <c r="F31" s="679"/>
      <c r="G31" s="679"/>
      <c r="H31" s="679"/>
      <c r="I31" s="679"/>
      <c r="J31" s="679"/>
      <c r="K31" s="61">
        <f>'Diverge Right'!A2</f>
        <v>863.49829999999997</v>
      </c>
      <c r="L31" s="55"/>
      <c r="M31" s="12"/>
      <c r="N31" s="665" t="s">
        <v>193</v>
      </c>
      <c r="O31" s="666"/>
      <c r="P31" s="362">
        <f>P26/U28+U30</f>
        <v>0.26111111111111107</v>
      </c>
      <c r="Q31" s="12"/>
      <c r="R31" s="293"/>
      <c r="S31" s="240"/>
      <c r="T31" s="240"/>
      <c r="U31" s="293"/>
      <c r="V31" s="240"/>
      <c r="W31" s="249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</row>
    <row r="32" spans="1:40" ht="20.100000000000001" customHeight="1" x14ac:dyDescent="0.3">
      <c r="A32" s="12"/>
      <c r="B32" s="12"/>
      <c r="C32" s="12"/>
      <c r="D32" s="12"/>
      <c r="E32" s="12"/>
      <c r="F32" s="684" t="s">
        <v>136</v>
      </c>
      <c r="G32" s="684"/>
      <c r="H32" s="684"/>
      <c r="I32" s="59"/>
      <c r="J32" s="59"/>
      <c r="K32" s="685" t="s">
        <v>201</v>
      </c>
      <c r="L32" s="685"/>
      <c r="M32" s="12"/>
      <c r="N32" s="12"/>
      <c r="O32" s="12"/>
      <c r="P32" s="10"/>
      <c r="Q32" s="53"/>
      <c r="R32" s="292"/>
      <c r="U32" s="77"/>
      <c r="V32" s="76"/>
      <c r="W32" s="76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</row>
    <row r="33" spans="1:40" ht="20.100000000000001" customHeight="1" x14ac:dyDescent="0.3">
      <c r="A33" s="12"/>
      <c r="B33" s="12"/>
      <c r="C33" s="12"/>
      <c r="D33" s="12"/>
      <c r="E33" s="12"/>
      <c r="F33" s="679" t="str">
        <f>'Diverge Left'!D2</f>
        <v xml:space="preserve">10ft-Revs. Head Plow </v>
      </c>
      <c r="G33" s="679"/>
      <c r="H33" s="679"/>
      <c r="I33" s="679"/>
      <c r="J33" s="679"/>
      <c r="K33" s="679"/>
      <c r="L33" s="61">
        <f>'Diverge Left'!A2</f>
        <v>863.49829999999997</v>
      </c>
      <c r="M33" s="59"/>
      <c r="N33" s="59"/>
      <c r="O33" s="53"/>
      <c r="P33" s="53"/>
      <c r="Q33" s="53"/>
      <c r="R33" s="292"/>
      <c r="V33" s="76"/>
      <c r="W33" s="76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</row>
    <row r="34" spans="1:40" ht="20.100000000000001" customHeight="1" thickBot="1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53"/>
      <c r="P34" s="53"/>
      <c r="Q34" s="53"/>
      <c r="R34" s="292"/>
      <c r="V34" s="76"/>
      <c r="W34" s="76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</row>
    <row r="35" spans="1:40" ht="10.5" customHeight="1" thickTop="1" x14ac:dyDescent="0.3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79"/>
      <c r="S35" s="75"/>
      <c r="T35" s="75"/>
      <c r="U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</row>
    <row r="36" spans="1:40" ht="35.1" customHeight="1" x14ac:dyDescent="0.6">
      <c r="A36" s="84"/>
      <c r="B36" s="84"/>
      <c r="C36" s="670" t="s">
        <v>220</v>
      </c>
      <c r="D36" s="670"/>
      <c r="E36" s="670"/>
      <c r="F36" s="670"/>
      <c r="G36" s="670"/>
      <c r="H36" s="670"/>
      <c r="I36" s="670"/>
      <c r="J36" s="670"/>
      <c r="K36" s="670"/>
      <c r="L36" s="670"/>
      <c r="M36" s="670"/>
      <c r="N36" s="670"/>
      <c r="O36" s="85"/>
      <c r="P36" s="85"/>
      <c r="Q36" s="84"/>
      <c r="R36" s="79"/>
      <c r="S36" s="75"/>
      <c r="T36" s="75"/>
      <c r="U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</row>
    <row r="37" spans="1:40" s="1" customFormat="1" ht="6" customHeight="1" thickBot="1" x14ac:dyDescent="0.65">
      <c r="A37" s="84"/>
      <c r="B37" s="84"/>
      <c r="C37" s="84"/>
      <c r="D37" s="84"/>
      <c r="E37" s="84"/>
      <c r="F37" s="86"/>
      <c r="G37" s="86"/>
      <c r="H37" s="86"/>
      <c r="I37" s="86"/>
      <c r="J37" s="86"/>
      <c r="K37" s="86"/>
      <c r="L37" s="86"/>
      <c r="M37" s="86"/>
      <c r="N37" s="127"/>
      <c r="O37" s="85"/>
      <c r="P37" s="85"/>
      <c r="Q37" s="84"/>
      <c r="R37" s="79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</row>
    <row r="38" spans="1:40" ht="39.9" customHeight="1" thickBot="1" x14ac:dyDescent="0.35">
      <c r="A38" s="84"/>
      <c r="B38" s="84"/>
      <c r="C38" s="703" t="s">
        <v>180</v>
      </c>
      <c r="D38" s="703"/>
      <c r="E38" s="703"/>
      <c r="F38" s="702" t="s">
        <v>142</v>
      </c>
      <c r="G38" s="702"/>
      <c r="H38" s="702"/>
      <c r="I38" s="702"/>
      <c r="J38" s="701" t="s">
        <v>149</v>
      </c>
      <c r="K38" s="702"/>
      <c r="L38" s="701" t="s">
        <v>215</v>
      </c>
      <c r="M38" s="702"/>
      <c r="N38" s="126" t="s">
        <v>150</v>
      </c>
      <c r="O38" s="84"/>
      <c r="P38" s="84"/>
      <c r="Q38" s="84"/>
      <c r="R38" s="79"/>
      <c r="S38" s="75"/>
      <c r="T38" s="75"/>
      <c r="U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</row>
    <row r="39" spans="1:40" ht="20.100000000000001" customHeight="1" thickBot="1" x14ac:dyDescent="0.35">
      <c r="A39" s="84"/>
      <c r="B39" s="84"/>
      <c r="C39" s="703"/>
      <c r="D39" s="703"/>
      <c r="E39" s="703"/>
      <c r="F39" s="704" t="s">
        <v>143</v>
      </c>
      <c r="G39" s="705"/>
      <c r="H39" s="705"/>
      <c r="I39" s="706"/>
      <c r="J39" s="707">
        <f>'Plow Conf &amp; Procure'!K5</f>
        <v>27</v>
      </c>
      <c r="K39" s="708"/>
      <c r="L39" s="709">
        <f>'Plow Operating Cost'!R5</f>
        <v>658.02547909407667</v>
      </c>
      <c r="M39" s="710"/>
      <c r="N39" s="129">
        <f>IF('Plow Conf &amp; Procure'!Q5=0,"",ROUND('Plow Operating Cost'!R5*D42,-2))</f>
        <v>592200</v>
      </c>
      <c r="O39" s="125"/>
      <c r="P39" s="84"/>
      <c r="Q39" s="84"/>
      <c r="R39" s="79"/>
      <c r="S39" s="75"/>
      <c r="T39" s="75"/>
      <c r="U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</row>
    <row r="40" spans="1:40" ht="20.100000000000001" customHeight="1" thickBot="1" x14ac:dyDescent="0.35">
      <c r="A40" s="84"/>
      <c r="B40" s="84"/>
      <c r="C40" s="88" t="s">
        <v>181</v>
      </c>
      <c r="D40" s="724" t="s">
        <v>182</v>
      </c>
      <c r="E40" s="724"/>
      <c r="F40" s="728" t="s">
        <v>145</v>
      </c>
      <c r="G40" s="729"/>
      <c r="H40" s="729"/>
      <c r="I40" s="730"/>
      <c r="J40" s="726">
        <f>'Plow Conf &amp; Procure'!L11</f>
        <v>20</v>
      </c>
      <c r="K40" s="727"/>
      <c r="L40" s="711">
        <f>'Plow Operating Cost'!R8</f>
        <v>598.40783410138249</v>
      </c>
      <c r="M40" s="712"/>
      <c r="N40" s="130">
        <f>IF('Plow Conf &amp; Procure'!R11=0,"",ROUND('Plow Operating Cost'!R8*D42,-2))</f>
        <v>538600</v>
      </c>
      <c r="O40" s="125"/>
      <c r="P40" s="84"/>
      <c r="Q40" s="84"/>
      <c r="R40" s="79"/>
      <c r="S40" s="75"/>
      <c r="T40" s="75"/>
      <c r="U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</row>
    <row r="41" spans="1:40" ht="20.100000000000001" customHeight="1" thickBot="1" x14ac:dyDescent="0.35">
      <c r="A41" s="84"/>
      <c r="B41" s="84"/>
      <c r="C41" s="261">
        <v>18</v>
      </c>
      <c r="D41" s="725">
        <v>50</v>
      </c>
      <c r="E41" s="725"/>
      <c r="F41" s="713" t="s">
        <v>144</v>
      </c>
      <c r="G41" s="714"/>
      <c r="H41" s="714"/>
      <c r="I41" s="715"/>
      <c r="J41" s="719">
        <f>'Plow Conf &amp; Procure'!L16</f>
        <v>27</v>
      </c>
      <c r="K41" s="720"/>
      <c r="L41" s="722">
        <f>'Plow Operating Cost'!R10</f>
        <v>888.04834494773525</v>
      </c>
      <c r="M41" s="723"/>
      <c r="N41" s="131">
        <f>IF('Plow Conf &amp; Procure'!R16=0,"",ROUND('Plow Operating Cost'!R10*D42,-2))</f>
        <v>799200</v>
      </c>
      <c r="O41" s="125"/>
      <c r="P41" s="84"/>
      <c r="Q41" s="84"/>
      <c r="R41" s="79"/>
      <c r="S41" s="75"/>
      <c r="T41" s="75"/>
      <c r="U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</row>
    <row r="42" spans="1:40" ht="20.100000000000001" customHeight="1" thickBot="1" x14ac:dyDescent="0.35">
      <c r="A42" s="84"/>
      <c r="B42" s="84"/>
      <c r="C42" s="83" t="s">
        <v>183</v>
      </c>
      <c r="D42" s="82">
        <f>C41*D41</f>
        <v>900</v>
      </c>
      <c r="E42" s="84"/>
      <c r="F42" s="716" t="s">
        <v>146</v>
      </c>
      <c r="G42" s="717"/>
      <c r="H42" s="717"/>
      <c r="I42" s="718"/>
      <c r="J42" s="726">
        <f>'Plow Conf &amp; Procure'!L24</f>
        <v>27</v>
      </c>
      <c r="K42" s="727"/>
      <c r="L42" s="711">
        <f>'Plow Operating Cost'!R15</f>
        <v>823.80705574912895</v>
      </c>
      <c r="M42" s="712"/>
      <c r="N42" s="130">
        <f>IF('Plow Conf &amp; Procure'!R24=0,"",ROUND('Plow Operating Cost'!R15*D42,-2))</f>
        <v>741400</v>
      </c>
      <c r="O42" s="125"/>
      <c r="P42" s="84"/>
      <c r="Q42" s="84"/>
      <c r="R42" s="79"/>
      <c r="S42" s="75"/>
      <c r="T42" s="75"/>
      <c r="U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</row>
    <row r="43" spans="1:40" ht="20.100000000000001" customHeight="1" x14ac:dyDescent="0.3">
      <c r="A43" s="84"/>
      <c r="B43" s="84"/>
      <c r="C43" s="84"/>
      <c r="D43" s="84"/>
      <c r="E43" s="84"/>
      <c r="F43" s="713" t="s">
        <v>147</v>
      </c>
      <c r="G43" s="714"/>
      <c r="H43" s="714"/>
      <c r="I43" s="715"/>
      <c r="J43" s="719">
        <f>'Plow Conf &amp; Procure'!L26</f>
        <v>27</v>
      </c>
      <c r="K43" s="720"/>
      <c r="L43" s="722">
        <f>'Plow Operating Cost'!R17</f>
        <v>1709.4608013937282</v>
      </c>
      <c r="M43" s="723"/>
      <c r="N43" s="131">
        <f>IF('Plow Conf &amp; Procure'!R26=0,"",ROUND('Plow Operating Cost'!R17*D42,-2))</f>
        <v>1538500</v>
      </c>
      <c r="O43" s="125"/>
      <c r="P43" s="84"/>
      <c r="Q43" s="84"/>
      <c r="R43" s="79"/>
      <c r="S43" s="75"/>
      <c r="T43" s="75"/>
      <c r="U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</row>
    <row r="44" spans="1:40" ht="20.100000000000001" customHeight="1" x14ac:dyDescent="0.3">
      <c r="A44" s="84"/>
      <c r="B44" s="84"/>
      <c r="C44" s="84"/>
      <c r="D44" s="84"/>
      <c r="E44" s="84"/>
      <c r="F44" s="716" t="s">
        <v>148</v>
      </c>
      <c r="G44" s="717"/>
      <c r="H44" s="717"/>
      <c r="I44" s="718"/>
      <c r="J44" s="726">
        <f>'Plow Conf &amp; Procure'!O30</f>
        <v>27</v>
      </c>
      <c r="K44" s="727"/>
      <c r="L44" s="711">
        <f>'Plow Operating Cost'!R18</f>
        <v>1735.4921602787456</v>
      </c>
      <c r="M44" s="712"/>
      <c r="N44" s="130">
        <f>IF('Plow Conf &amp; Procure'!R30=0,"",ROUND('Plow Operating Cost'!R18*D42,-2))</f>
        <v>1561900</v>
      </c>
      <c r="O44" s="125"/>
      <c r="P44" s="84"/>
      <c r="Q44" s="84"/>
      <c r="R44" s="79"/>
      <c r="S44" s="75"/>
      <c r="T44" s="75"/>
      <c r="U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</row>
    <row r="45" spans="1:40" ht="20.100000000000001" customHeight="1" x14ac:dyDescent="0.3">
      <c r="A45" s="84"/>
      <c r="B45" s="84"/>
      <c r="C45" s="84"/>
      <c r="D45" s="84"/>
      <c r="E45" s="84"/>
      <c r="F45" s="713" t="s">
        <v>207</v>
      </c>
      <c r="G45" s="714"/>
      <c r="H45" s="714"/>
      <c r="I45" s="715"/>
      <c r="J45" s="719">
        <f>'Plow Conf &amp; Procure'!O31</f>
        <v>27</v>
      </c>
      <c r="K45" s="720"/>
      <c r="L45" s="722">
        <f>'Plow Operating Cost'!R20</f>
        <v>1606.6733449477351</v>
      </c>
      <c r="M45" s="723"/>
      <c r="N45" s="131">
        <f>IF('Plow Conf &amp; Procure'!R31=0,"",ROUND('Plow Operating Cost'!R20*D42,-2))</f>
        <v>1446000</v>
      </c>
      <c r="O45" s="125"/>
      <c r="P45" s="84"/>
      <c r="Q45" s="84"/>
      <c r="R45" s="79"/>
      <c r="S45" s="75"/>
      <c r="T45" s="75"/>
      <c r="U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</row>
    <row r="46" spans="1:40" ht="20.100000000000001" customHeight="1" x14ac:dyDescent="0.3">
      <c r="A46" s="664" t="s">
        <v>327</v>
      </c>
      <c r="B46" s="84"/>
      <c r="C46" s="663">
        <v>44585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28"/>
      <c r="O46" s="84"/>
      <c r="P46" s="84"/>
      <c r="Q46" s="84"/>
      <c r="R46" s="79"/>
      <c r="S46" s="75"/>
      <c r="T46" s="75"/>
      <c r="U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</row>
    <row r="47" spans="1:40" ht="9.75" customHeight="1" x14ac:dyDescent="0.3">
      <c r="R47" s="75"/>
      <c r="S47" s="75"/>
      <c r="T47" s="75"/>
      <c r="U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</row>
    <row r="48" spans="1:40" x14ac:dyDescent="0.3">
      <c r="R48" s="75"/>
      <c r="S48" s="75"/>
      <c r="T48" s="75"/>
      <c r="U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</row>
    <row r="49" spans="18:37" x14ac:dyDescent="0.3">
      <c r="R49" s="75"/>
      <c r="S49" s="75"/>
      <c r="T49" s="75"/>
      <c r="U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</row>
    <row r="50" spans="18:37" x14ac:dyDescent="0.3">
      <c r="R50" s="75"/>
      <c r="S50" s="75"/>
      <c r="T50" s="75"/>
      <c r="U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</row>
    <row r="51" spans="18:37" x14ac:dyDescent="0.3">
      <c r="R51" s="75"/>
      <c r="S51" s="75"/>
      <c r="T51" s="75"/>
      <c r="U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</row>
    <row r="52" spans="18:37" x14ac:dyDescent="0.3">
      <c r="R52" s="75"/>
      <c r="S52" s="75"/>
      <c r="T52" s="75"/>
      <c r="U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</row>
  </sheetData>
  <sheetProtection algorithmName="SHA-512" hashValue="BczTrgUOco5jUgPs46+sqUiKaGPJci474tM9tGfv9rtjDEMzbaXojKdv8e28OzXdBDOwpcwBLmfFvyV2tP7xvA==" saltValue="79gZPx50gF52trqtrz7cZQ==" spinCount="100000" sheet="1" selectLockedCells="1"/>
  <mergeCells count="59">
    <mergeCell ref="S4:T4"/>
    <mergeCell ref="F45:I45"/>
    <mergeCell ref="J45:K45"/>
    <mergeCell ref="L45:M45"/>
    <mergeCell ref="C23:L24"/>
    <mergeCell ref="D40:E40"/>
    <mergeCell ref="D41:E41"/>
    <mergeCell ref="L41:M41"/>
    <mergeCell ref="L42:M42"/>
    <mergeCell ref="J42:K42"/>
    <mergeCell ref="F40:I40"/>
    <mergeCell ref="J40:K40"/>
    <mergeCell ref="L40:M40"/>
    <mergeCell ref="J43:K43"/>
    <mergeCell ref="J44:K44"/>
    <mergeCell ref="L43:M43"/>
    <mergeCell ref="L44:M44"/>
    <mergeCell ref="F41:I41"/>
    <mergeCell ref="F42:I42"/>
    <mergeCell ref="F43:I43"/>
    <mergeCell ref="F44:I44"/>
    <mergeCell ref="J41:K41"/>
    <mergeCell ref="L38:M38"/>
    <mergeCell ref="J38:K38"/>
    <mergeCell ref="F38:I38"/>
    <mergeCell ref="C38:E39"/>
    <mergeCell ref="F39:I39"/>
    <mergeCell ref="J39:K39"/>
    <mergeCell ref="L39:M39"/>
    <mergeCell ref="B2:O2"/>
    <mergeCell ref="C6:F6"/>
    <mergeCell ref="H6:K6"/>
    <mergeCell ref="C4:K4"/>
    <mergeCell ref="J9:K18"/>
    <mergeCell ref="C7:F7"/>
    <mergeCell ref="H7:K7"/>
    <mergeCell ref="J30:K30"/>
    <mergeCell ref="K32:L32"/>
    <mergeCell ref="F26:G26"/>
    <mergeCell ref="H26:I26"/>
    <mergeCell ref="C26:E26"/>
    <mergeCell ref="C27:H27"/>
    <mergeCell ref="D29:I29"/>
    <mergeCell ref="N31:O31"/>
    <mergeCell ref="N24:P24"/>
    <mergeCell ref="N25:P25"/>
    <mergeCell ref="N4:P4"/>
    <mergeCell ref="C36:N36"/>
    <mergeCell ref="N27:O27"/>
    <mergeCell ref="N26:O26"/>
    <mergeCell ref="N28:O28"/>
    <mergeCell ref="N29:O29"/>
    <mergeCell ref="N30:O30"/>
    <mergeCell ref="E31:J31"/>
    <mergeCell ref="F33:K33"/>
    <mergeCell ref="D28:F28"/>
    <mergeCell ref="E30:G30"/>
    <mergeCell ref="F32:H32"/>
    <mergeCell ref="I28:J28"/>
  </mergeCells>
  <conditionalFormatting sqref="I27">
    <cfRule type="cellIs" dxfId="135" priority="11" operator="equal">
      <formula>0</formula>
    </cfRule>
    <cfRule type="cellIs" dxfId="134" priority="14" operator="equal">
      <formula>0</formula>
    </cfRule>
  </conditionalFormatting>
  <conditionalFormatting sqref="J29">
    <cfRule type="cellIs" dxfId="133" priority="9" operator="equal">
      <formula>0</formula>
    </cfRule>
    <cfRule type="cellIs" dxfId="132" priority="10" operator="equal">
      <formula>0</formula>
    </cfRule>
  </conditionalFormatting>
  <conditionalFormatting sqref="K31">
    <cfRule type="cellIs" dxfId="131" priority="7" operator="equal">
      <formula>0</formula>
    </cfRule>
    <cfRule type="cellIs" dxfId="130" priority="8" operator="equal">
      <formula>0</formula>
    </cfRule>
  </conditionalFormatting>
  <conditionalFormatting sqref="L33">
    <cfRule type="cellIs" dxfId="129" priority="5" operator="equal">
      <formula>0</formula>
    </cfRule>
    <cfRule type="cellIs" dxfId="128" priority="6" operator="equal">
      <formula>0</formula>
    </cfRule>
  </conditionalFormatting>
  <conditionalFormatting sqref="C27:H27">
    <cfRule type="cellIs" dxfId="127" priority="4" operator="equal">
      <formula>0</formula>
    </cfRule>
  </conditionalFormatting>
  <conditionalFormatting sqref="D29:I29">
    <cfRule type="cellIs" dxfId="126" priority="3" operator="equal">
      <formula>0</formula>
    </cfRule>
  </conditionalFormatting>
  <conditionalFormatting sqref="E31:J31">
    <cfRule type="cellIs" dxfId="125" priority="2" operator="equal">
      <formula>0</formula>
    </cfRule>
  </conditionalFormatting>
  <conditionalFormatting sqref="F33:K33">
    <cfRule type="cellIs" dxfId="124" priority="1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33" r:id="rId4" name="runSimulation">
          <controlPr defaultSize="0" autoFill="0" autoLine="0" r:id="rId5">
            <anchor moveWithCells="1">
              <from>
                <xdr:col>0</xdr:col>
                <xdr:colOff>175260</xdr:colOff>
                <xdr:row>29</xdr:row>
                <xdr:rowOff>137160</xdr:rowOff>
              </from>
              <to>
                <xdr:col>3</xdr:col>
                <xdr:colOff>137160</xdr:colOff>
                <xdr:row>33</xdr:row>
                <xdr:rowOff>91440</xdr:rowOff>
              </to>
            </anchor>
          </controlPr>
        </control>
      </mc:Choice>
      <mc:Fallback>
        <control shapeId="1033" r:id="rId4" name="runSimulation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autoPageBreaks="0"/>
  </sheetPr>
  <dimension ref="A1:D86"/>
  <sheetViews>
    <sheetView showGridLines="0" zoomScale="125" zoomScaleNormal="125" workbookViewId="0"/>
  </sheetViews>
  <sheetFormatPr defaultRowHeight="14.4" x14ac:dyDescent="0.3"/>
  <cols>
    <col min="1" max="1" width="9.109375" style="70"/>
    <col min="2" max="2" width="9.109375" style="64"/>
    <col min="3" max="3" width="23.6640625" style="92" customWidth="1"/>
    <col min="4" max="4" width="75.6640625" customWidth="1"/>
  </cols>
  <sheetData>
    <row r="1" spans="1:4" s="62" customFormat="1" ht="24.9" customHeight="1" thickBot="1" x14ac:dyDescent="0.35">
      <c r="A1" s="95" t="s">
        <v>217</v>
      </c>
      <c r="B1" s="69" t="s">
        <v>218</v>
      </c>
      <c r="C1" s="93" t="s">
        <v>257</v>
      </c>
      <c r="D1" s="96" t="s">
        <v>219</v>
      </c>
    </row>
    <row r="2" spans="1:4" x14ac:dyDescent="0.3">
      <c r="A2" s="70">
        <v>2511.1124</v>
      </c>
      <c r="B2" s="64">
        <v>34</v>
      </c>
      <c r="C2" s="92">
        <v>45</v>
      </c>
      <c r="D2" t="s">
        <v>258</v>
      </c>
    </row>
    <row r="3" spans="1:4" x14ac:dyDescent="0.3">
      <c r="A3" s="70">
        <v>2524.4965000000002</v>
      </c>
      <c r="B3" s="64">
        <v>36</v>
      </c>
      <c r="C3" s="92">
        <v>45</v>
      </c>
      <c r="D3" t="s">
        <v>265</v>
      </c>
    </row>
    <row r="4" spans="1:4" x14ac:dyDescent="0.3">
      <c r="A4" s="70">
        <v>2590.4949000000001</v>
      </c>
      <c r="B4" s="64">
        <v>30</v>
      </c>
      <c r="C4" s="92">
        <v>45</v>
      </c>
      <c r="D4" t="s">
        <v>328</v>
      </c>
    </row>
    <row r="5" spans="1:4" x14ac:dyDescent="0.3">
      <c r="A5" s="70">
        <v>2603.8789999999999</v>
      </c>
      <c r="B5" s="64">
        <v>32</v>
      </c>
      <c r="C5" s="92">
        <v>45</v>
      </c>
      <c r="D5" t="s">
        <v>266</v>
      </c>
    </row>
    <row r="6" spans="1:4" x14ac:dyDescent="0.3">
      <c r="A6" s="70">
        <v>2617.2631000000001</v>
      </c>
      <c r="B6" s="64">
        <v>34</v>
      </c>
      <c r="C6" s="92">
        <v>45</v>
      </c>
      <c r="D6" t="s">
        <v>267</v>
      </c>
    </row>
    <row r="7" spans="1:4" x14ac:dyDescent="0.3">
      <c r="A7" s="70">
        <v>2630.6471999999999</v>
      </c>
      <c r="B7" s="64">
        <v>36</v>
      </c>
      <c r="C7" s="92">
        <v>45</v>
      </c>
      <c r="D7" t="s">
        <v>268</v>
      </c>
    </row>
    <row r="8" spans="1:4" x14ac:dyDescent="0.3">
      <c r="A8" s="70">
        <v>2814.2177999999999</v>
      </c>
      <c r="B8" s="64">
        <v>34</v>
      </c>
      <c r="C8" s="92">
        <v>45</v>
      </c>
      <c r="D8" t="s">
        <v>259</v>
      </c>
    </row>
    <row r="9" spans="1:4" x14ac:dyDescent="0.3">
      <c r="A9" s="70">
        <v>2893.6003000000001</v>
      </c>
      <c r="B9" s="64">
        <v>30</v>
      </c>
      <c r="C9" s="92">
        <v>45</v>
      </c>
      <c r="D9" t="s">
        <v>260</v>
      </c>
    </row>
    <row r="10" spans="1:4" x14ac:dyDescent="0.3">
      <c r="A10" s="70">
        <v>2906.9843999999998</v>
      </c>
      <c r="B10" s="64">
        <v>32</v>
      </c>
      <c r="C10" s="92">
        <v>45</v>
      </c>
      <c r="D10" t="s">
        <v>269</v>
      </c>
    </row>
    <row r="11" spans="1:4" x14ac:dyDescent="0.3">
      <c r="A11" s="70">
        <v>2920.3685</v>
      </c>
      <c r="B11" s="64">
        <v>34</v>
      </c>
      <c r="C11" s="92">
        <v>45</v>
      </c>
      <c r="D11" t="s">
        <v>270</v>
      </c>
    </row>
    <row r="12" spans="1:4" x14ac:dyDescent="0.3">
      <c r="A12" s="70">
        <v>3196.7057</v>
      </c>
      <c r="B12" s="64">
        <v>30</v>
      </c>
      <c r="C12" s="92">
        <v>45</v>
      </c>
      <c r="D12" t="s">
        <v>271</v>
      </c>
    </row>
    <row r="13" spans="1:4" x14ac:dyDescent="0.3">
      <c r="A13" s="70">
        <v>3210.0898000000002</v>
      </c>
      <c r="B13" s="64">
        <v>32</v>
      </c>
      <c r="C13" s="92">
        <v>45</v>
      </c>
      <c r="D13" t="s">
        <v>272</v>
      </c>
    </row>
    <row r="14" spans="1:4" x14ac:dyDescent="0.3">
      <c r="A14" s="70">
        <v>3374.6107000000002</v>
      </c>
      <c r="B14" s="64">
        <v>44</v>
      </c>
      <c r="C14" s="92">
        <v>45</v>
      </c>
      <c r="D14" t="s">
        <v>261</v>
      </c>
    </row>
    <row r="15" spans="1:4" x14ac:dyDescent="0.3">
      <c r="A15" s="70">
        <v>3387.9947999999999</v>
      </c>
      <c r="B15" s="64">
        <v>46</v>
      </c>
      <c r="C15" s="92">
        <v>45</v>
      </c>
      <c r="D15" t="s">
        <v>273</v>
      </c>
    </row>
    <row r="16" spans="1:4" x14ac:dyDescent="0.3">
      <c r="A16" s="70">
        <v>3401.3789000000002</v>
      </c>
      <c r="B16" s="64">
        <v>48</v>
      </c>
      <c r="C16" s="92">
        <v>45</v>
      </c>
      <c r="D16" t="s">
        <v>274</v>
      </c>
    </row>
    <row r="17" spans="1:4" x14ac:dyDescent="0.3">
      <c r="A17" s="70">
        <v>3467.3773000000001</v>
      </c>
      <c r="B17" s="64">
        <v>42</v>
      </c>
      <c r="C17" s="92">
        <v>45</v>
      </c>
      <c r="D17" t="s">
        <v>329</v>
      </c>
    </row>
    <row r="18" spans="1:4" x14ac:dyDescent="0.3">
      <c r="A18" s="70">
        <v>3480.7613999999999</v>
      </c>
      <c r="B18" s="64">
        <v>44</v>
      </c>
      <c r="C18" s="92">
        <v>45</v>
      </c>
      <c r="D18" t="s">
        <v>275</v>
      </c>
    </row>
    <row r="19" spans="1:4" x14ac:dyDescent="0.3">
      <c r="A19" s="70">
        <v>3494.1455000000001</v>
      </c>
      <c r="B19" s="64">
        <v>46</v>
      </c>
      <c r="C19" s="92">
        <v>45</v>
      </c>
      <c r="D19" t="s">
        <v>276</v>
      </c>
    </row>
    <row r="20" spans="1:4" x14ac:dyDescent="0.3">
      <c r="A20" s="70">
        <v>3677.7161000000001</v>
      </c>
      <c r="B20" s="64">
        <v>44</v>
      </c>
      <c r="C20" s="92">
        <v>45</v>
      </c>
      <c r="D20" t="s">
        <v>262</v>
      </c>
    </row>
    <row r="21" spans="1:4" x14ac:dyDescent="0.3">
      <c r="A21" s="70">
        <v>3691.1001999999999</v>
      </c>
      <c r="B21" s="64">
        <v>46</v>
      </c>
      <c r="C21" s="92">
        <v>45</v>
      </c>
      <c r="D21" t="s">
        <v>277</v>
      </c>
    </row>
    <row r="22" spans="1:4" x14ac:dyDescent="0.3">
      <c r="A22" s="70">
        <v>3757.0985999999998</v>
      </c>
      <c r="B22" s="64">
        <v>40</v>
      </c>
      <c r="C22" s="92">
        <v>45</v>
      </c>
      <c r="D22" t="s">
        <v>330</v>
      </c>
    </row>
    <row r="23" spans="1:4" x14ac:dyDescent="0.3">
      <c r="A23" s="70">
        <v>3770.4827</v>
      </c>
      <c r="B23" s="64">
        <v>42</v>
      </c>
      <c r="C23" s="92">
        <v>45</v>
      </c>
      <c r="D23" t="s">
        <v>278</v>
      </c>
    </row>
    <row r="24" spans="1:4" x14ac:dyDescent="0.3">
      <c r="A24" s="70">
        <v>3783.8667999999998</v>
      </c>
      <c r="B24" s="64">
        <v>44</v>
      </c>
      <c r="C24" s="92">
        <v>45</v>
      </c>
      <c r="D24" t="s">
        <v>279</v>
      </c>
    </row>
    <row r="25" spans="1:4" x14ac:dyDescent="0.3">
      <c r="A25" s="70">
        <v>3797.2509</v>
      </c>
      <c r="B25" s="64">
        <v>46</v>
      </c>
      <c r="C25" s="92">
        <v>45</v>
      </c>
      <c r="D25" t="s">
        <v>280</v>
      </c>
    </row>
    <row r="26" spans="1:4" x14ac:dyDescent="0.3">
      <c r="A26" s="70">
        <v>3980.8215</v>
      </c>
      <c r="B26" s="64">
        <v>44</v>
      </c>
      <c r="C26" s="92">
        <v>45</v>
      </c>
      <c r="D26" t="s">
        <v>281</v>
      </c>
    </row>
    <row r="27" spans="1:4" x14ac:dyDescent="0.3">
      <c r="A27" s="70">
        <v>4060.2040000000002</v>
      </c>
      <c r="B27" s="64">
        <v>40</v>
      </c>
      <c r="C27" s="92">
        <v>45</v>
      </c>
      <c r="D27" t="s">
        <v>282</v>
      </c>
    </row>
    <row r="28" spans="1:4" x14ac:dyDescent="0.3">
      <c r="A28" s="70">
        <v>4073.5880999999999</v>
      </c>
      <c r="B28" s="64">
        <v>42</v>
      </c>
      <c r="C28" s="92">
        <v>45</v>
      </c>
      <c r="D28" t="s">
        <v>283</v>
      </c>
    </row>
    <row r="29" spans="1:4" x14ac:dyDescent="0.3">
      <c r="A29" s="70">
        <v>4086.9722000000002</v>
      </c>
      <c r="B29" s="64">
        <v>44</v>
      </c>
      <c r="C29" s="92">
        <v>45</v>
      </c>
      <c r="D29" t="s">
        <v>284</v>
      </c>
    </row>
    <row r="30" spans="1:4" x14ac:dyDescent="0.3">
      <c r="A30" s="70">
        <v>4238.1090000000004</v>
      </c>
      <c r="B30" s="64">
        <v>54</v>
      </c>
      <c r="C30" s="92">
        <v>45</v>
      </c>
      <c r="D30" t="s">
        <v>331</v>
      </c>
    </row>
    <row r="31" spans="1:4" x14ac:dyDescent="0.3">
      <c r="A31" s="70">
        <v>4251.4930999999997</v>
      </c>
      <c r="B31" s="64">
        <v>56</v>
      </c>
      <c r="C31" s="92">
        <v>45</v>
      </c>
      <c r="D31" t="s">
        <v>285</v>
      </c>
    </row>
    <row r="32" spans="1:4" x14ac:dyDescent="0.3">
      <c r="A32" s="70">
        <v>4264.8771999999999</v>
      </c>
      <c r="B32" s="64">
        <v>58</v>
      </c>
      <c r="C32" s="92">
        <v>45</v>
      </c>
      <c r="D32" t="s">
        <v>286</v>
      </c>
    </row>
    <row r="33" spans="1:4" x14ac:dyDescent="0.3">
      <c r="A33" s="70">
        <v>4278.2613000000001</v>
      </c>
      <c r="B33" s="64">
        <v>60</v>
      </c>
      <c r="C33" s="92">
        <v>45</v>
      </c>
      <c r="D33" t="s">
        <v>287</v>
      </c>
    </row>
    <row r="34" spans="1:4" x14ac:dyDescent="0.3">
      <c r="A34" s="70">
        <v>4344.2596999999996</v>
      </c>
      <c r="B34" s="64">
        <v>54</v>
      </c>
      <c r="C34" s="92">
        <v>45</v>
      </c>
      <c r="D34" t="s">
        <v>332</v>
      </c>
    </row>
    <row r="35" spans="1:4" x14ac:dyDescent="0.3">
      <c r="A35" s="70">
        <v>4357.6437999999998</v>
      </c>
      <c r="B35" s="64">
        <v>56</v>
      </c>
      <c r="C35" s="92">
        <v>45</v>
      </c>
      <c r="D35" t="s">
        <v>288</v>
      </c>
    </row>
    <row r="36" spans="1:4" x14ac:dyDescent="0.3">
      <c r="A36" s="70">
        <v>4541.2143999999998</v>
      </c>
      <c r="B36" s="64">
        <v>54</v>
      </c>
      <c r="C36" s="92">
        <v>45</v>
      </c>
      <c r="D36" t="s">
        <v>263</v>
      </c>
    </row>
    <row r="37" spans="1:4" x14ac:dyDescent="0.3">
      <c r="A37" s="70">
        <v>4554.5985000000001</v>
      </c>
      <c r="B37" s="64">
        <v>56</v>
      </c>
      <c r="C37" s="92">
        <v>45</v>
      </c>
      <c r="D37" t="s">
        <v>289</v>
      </c>
    </row>
    <row r="38" spans="1:4" x14ac:dyDescent="0.3">
      <c r="A38" s="70">
        <v>4567.9826000000003</v>
      </c>
      <c r="B38" s="64">
        <v>58</v>
      </c>
      <c r="C38" s="92">
        <v>45</v>
      </c>
      <c r="D38" t="s">
        <v>290</v>
      </c>
    </row>
    <row r="39" spans="1:4" x14ac:dyDescent="0.3">
      <c r="A39" s="70">
        <v>4633.9809999999998</v>
      </c>
      <c r="B39" s="64">
        <v>52</v>
      </c>
      <c r="C39" s="92">
        <v>45</v>
      </c>
      <c r="D39" t="s">
        <v>333</v>
      </c>
    </row>
    <row r="40" spans="1:4" x14ac:dyDescent="0.3">
      <c r="A40" s="70">
        <v>4647.3651</v>
      </c>
      <c r="B40" s="64">
        <v>54</v>
      </c>
      <c r="C40" s="92">
        <v>45</v>
      </c>
      <c r="D40" t="s">
        <v>291</v>
      </c>
    </row>
    <row r="41" spans="1:4" x14ac:dyDescent="0.3">
      <c r="A41" s="70">
        <v>4660.7492000000002</v>
      </c>
      <c r="B41" s="64">
        <v>56</v>
      </c>
      <c r="C41" s="92">
        <v>45</v>
      </c>
      <c r="D41" t="s">
        <v>292</v>
      </c>
    </row>
    <row r="42" spans="1:4" x14ac:dyDescent="0.3">
      <c r="A42" s="70">
        <v>4844.3198000000002</v>
      </c>
      <c r="B42" s="64">
        <v>54</v>
      </c>
      <c r="C42" s="92">
        <v>45</v>
      </c>
      <c r="D42" t="s">
        <v>293</v>
      </c>
    </row>
    <row r="43" spans="1:4" x14ac:dyDescent="0.3">
      <c r="A43" s="70">
        <v>4857.7039000000004</v>
      </c>
      <c r="B43" s="64">
        <v>56</v>
      </c>
      <c r="C43" s="92">
        <v>45</v>
      </c>
      <c r="D43" t="s">
        <v>294</v>
      </c>
    </row>
    <row r="44" spans="1:4" x14ac:dyDescent="0.3">
      <c r="A44" s="70">
        <v>4923.7022999999999</v>
      </c>
      <c r="B44" s="64">
        <v>50</v>
      </c>
      <c r="C44" s="92">
        <v>45</v>
      </c>
      <c r="D44" t="s">
        <v>334</v>
      </c>
    </row>
    <row r="45" spans="1:4" x14ac:dyDescent="0.3">
      <c r="A45" s="70">
        <v>4937.0864000000001</v>
      </c>
      <c r="B45" s="64">
        <v>52</v>
      </c>
      <c r="C45" s="92">
        <v>45</v>
      </c>
      <c r="D45" t="s">
        <v>295</v>
      </c>
    </row>
    <row r="46" spans="1:4" x14ac:dyDescent="0.3">
      <c r="A46" s="70">
        <v>4950.4705000000004</v>
      </c>
      <c r="B46" s="64">
        <v>54</v>
      </c>
      <c r="C46" s="92">
        <v>45</v>
      </c>
      <c r="D46" t="s">
        <v>296</v>
      </c>
    </row>
    <row r="47" spans="1:4" x14ac:dyDescent="0.3">
      <c r="A47" s="70">
        <v>4963.8545999999997</v>
      </c>
      <c r="B47" s="64">
        <v>56</v>
      </c>
      <c r="C47" s="92">
        <v>45</v>
      </c>
      <c r="D47" t="s">
        <v>297</v>
      </c>
    </row>
    <row r="48" spans="1:4" x14ac:dyDescent="0.3">
      <c r="A48" s="70">
        <v>5114.9913999999999</v>
      </c>
      <c r="B48" s="64">
        <v>66</v>
      </c>
      <c r="C48" s="92">
        <v>45</v>
      </c>
      <c r="D48" t="s">
        <v>335</v>
      </c>
    </row>
    <row r="49" spans="1:4" x14ac:dyDescent="0.3">
      <c r="A49" s="70">
        <v>5128.3755000000001</v>
      </c>
      <c r="B49" s="64">
        <v>68</v>
      </c>
      <c r="C49" s="92">
        <v>45</v>
      </c>
      <c r="D49" t="s">
        <v>298</v>
      </c>
    </row>
    <row r="50" spans="1:4" x14ac:dyDescent="0.3">
      <c r="A50" s="70">
        <v>5141.7596000000003</v>
      </c>
      <c r="B50" s="64">
        <v>70</v>
      </c>
      <c r="C50" s="92">
        <v>45</v>
      </c>
      <c r="D50" t="s">
        <v>299</v>
      </c>
    </row>
    <row r="51" spans="1:4" x14ac:dyDescent="0.3">
      <c r="A51" s="70">
        <v>5221.1421</v>
      </c>
      <c r="B51" s="64">
        <v>66</v>
      </c>
      <c r="C51" s="92">
        <v>45</v>
      </c>
      <c r="D51" t="s">
        <v>336</v>
      </c>
    </row>
    <row r="52" spans="1:4" x14ac:dyDescent="0.3">
      <c r="A52" s="70">
        <v>5404.7127</v>
      </c>
      <c r="B52" s="64">
        <v>64</v>
      </c>
      <c r="C52" s="92">
        <v>45</v>
      </c>
      <c r="D52" t="s">
        <v>337</v>
      </c>
    </row>
    <row r="53" spans="1:4" x14ac:dyDescent="0.3">
      <c r="A53" s="70">
        <v>5418.0968000000003</v>
      </c>
      <c r="B53" s="64">
        <v>66</v>
      </c>
      <c r="C53" s="92">
        <v>45</v>
      </c>
      <c r="D53" t="s">
        <v>300</v>
      </c>
    </row>
    <row r="54" spans="1:4" x14ac:dyDescent="0.3">
      <c r="A54" s="70">
        <v>5431.4808999999996</v>
      </c>
      <c r="B54" s="64">
        <v>68</v>
      </c>
      <c r="C54" s="92">
        <v>45</v>
      </c>
      <c r="D54" t="s">
        <v>301</v>
      </c>
    </row>
    <row r="55" spans="1:4" x14ac:dyDescent="0.3">
      <c r="A55" s="70">
        <v>5444.8649999999998</v>
      </c>
      <c r="B55" s="64">
        <v>70</v>
      </c>
      <c r="C55" s="92">
        <v>45</v>
      </c>
      <c r="D55" t="s">
        <v>302</v>
      </c>
    </row>
    <row r="56" spans="1:4" x14ac:dyDescent="0.3">
      <c r="A56" s="70">
        <v>5510.8634000000002</v>
      </c>
      <c r="B56" s="64">
        <v>64</v>
      </c>
      <c r="C56" s="92">
        <v>45</v>
      </c>
      <c r="D56" t="s">
        <v>338</v>
      </c>
    </row>
    <row r="57" spans="1:4" x14ac:dyDescent="0.3">
      <c r="A57" s="70">
        <v>5524.2475000000004</v>
      </c>
      <c r="B57" s="64">
        <v>66</v>
      </c>
      <c r="C57" s="92">
        <v>45</v>
      </c>
      <c r="D57" t="s">
        <v>303</v>
      </c>
    </row>
    <row r="58" spans="1:4" x14ac:dyDescent="0.3">
      <c r="A58" s="70">
        <v>5707.8181000000004</v>
      </c>
      <c r="B58" s="64">
        <v>64</v>
      </c>
      <c r="C58" s="92">
        <v>45</v>
      </c>
      <c r="D58" t="s">
        <v>304</v>
      </c>
    </row>
    <row r="59" spans="1:4" x14ac:dyDescent="0.3">
      <c r="A59" s="70">
        <v>5721.2021999999997</v>
      </c>
      <c r="B59" s="64">
        <v>66</v>
      </c>
      <c r="C59" s="92">
        <v>45</v>
      </c>
      <c r="D59" t="s">
        <v>305</v>
      </c>
    </row>
    <row r="60" spans="1:4" x14ac:dyDescent="0.3">
      <c r="A60" s="70">
        <v>5734.5862999999999</v>
      </c>
      <c r="B60" s="64">
        <v>68</v>
      </c>
      <c r="C60" s="92">
        <v>45</v>
      </c>
      <c r="D60" t="s">
        <v>306</v>
      </c>
    </row>
    <row r="61" spans="1:4" x14ac:dyDescent="0.3">
      <c r="A61" s="70">
        <v>5800.5847000000003</v>
      </c>
      <c r="B61" s="64">
        <v>62</v>
      </c>
      <c r="C61" s="92">
        <v>45</v>
      </c>
      <c r="D61" t="s">
        <v>339</v>
      </c>
    </row>
    <row r="62" spans="1:4" x14ac:dyDescent="0.3">
      <c r="A62" s="70">
        <v>5813.9687999999996</v>
      </c>
      <c r="B62" s="64">
        <v>64</v>
      </c>
      <c r="C62" s="92">
        <v>45</v>
      </c>
      <c r="D62" t="s">
        <v>307</v>
      </c>
    </row>
    <row r="63" spans="1:4" x14ac:dyDescent="0.3">
      <c r="A63" s="70">
        <v>5827.3528999999999</v>
      </c>
      <c r="B63" s="64">
        <v>66</v>
      </c>
      <c r="C63" s="92">
        <v>45</v>
      </c>
      <c r="D63" t="s">
        <v>308</v>
      </c>
    </row>
    <row r="64" spans="1:4" x14ac:dyDescent="0.3">
      <c r="A64" s="70">
        <v>5991.8738000000003</v>
      </c>
      <c r="B64" s="64">
        <v>78</v>
      </c>
      <c r="C64" s="92">
        <v>45</v>
      </c>
      <c r="D64" t="s">
        <v>340</v>
      </c>
    </row>
    <row r="65" spans="1:4" x14ac:dyDescent="0.3">
      <c r="A65" s="70">
        <v>6005.2578999999996</v>
      </c>
      <c r="B65" s="64">
        <v>80</v>
      </c>
      <c r="C65" s="92">
        <v>45</v>
      </c>
      <c r="D65" t="s">
        <v>309</v>
      </c>
    </row>
    <row r="66" spans="1:4" x14ac:dyDescent="0.3">
      <c r="A66" s="70">
        <v>6281.5950999999995</v>
      </c>
      <c r="B66" s="64">
        <v>76</v>
      </c>
      <c r="C66" s="92">
        <v>45</v>
      </c>
      <c r="D66" t="s">
        <v>341</v>
      </c>
    </row>
    <row r="67" spans="1:4" x14ac:dyDescent="0.3">
      <c r="A67" s="70">
        <v>6294.9791999999998</v>
      </c>
      <c r="B67" s="64">
        <v>78</v>
      </c>
      <c r="C67" s="92">
        <v>45</v>
      </c>
      <c r="D67" t="s">
        <v>310</v>
      </c>
    </row>
    <row r="68" spans="1:4" x14ac:dyDescent="0.3">
      <c r="A68" s="70">
        <v>6308.3633</v>
      </c>
      <c r="B68" s="64">
        <v>80</v>
      </c>
      <c r="C68" s="92">
        <v>45</v>
      </c>
      <c r="D68" t="s">
        <v>311</v>
      </c>
    </row>
    <row r="69" spans="1:4" x14ac:dyDescent="0.3">
      <c r="A69" s="70">
        <v>6387.7457999999997</v>
      </c>
      <c r="B69" s="64">
        <v>76</v>
      </c>
      <c r="C69" s="92">
        <v>45</v>
      </c>
      <c r="D69" t="s">
        <v>342</v>
      </c>
    </row>
    <row r="70" spans="1:4" x14ac:dyDescent="0.3">
      <c r="A70" s="70">
        <v>6571.3163999999997</v>
      </c>
      <c r="B70" s="64">
        <v>74</v>
      </c>
      <c r="C70" s="92">
        <v>45</v>
      </c>
      <c r="D70" t="s">
        <v>343</v>
      </c>
    </row>
    <row r="71" spans="1:4" x14ac:dyDescent="0.3">
      <c r="A71" s="70">
        <v>6584.7004999999999</v>
      </c>
      <c r="B71" s="64">
        <v>76</v>
      </c>
      <c r="C71" s="92">
        <v>45</v>
      </c>
      <c r="D71" t="s">
        <v>312</v>
      </c>
    </row>
    <row r="72" spans="1:4" x14ac:dyDescent="0.3">
      <c r="A72" s="70">
        <v>6598.0846000000001</v>
      </c>
      <c r="B72" s="64">
        <v>78</v>
      </c>
      <c r="C72" s="92">
        <v>45</v>
      </c>
      <c r="D72" t="s">
        <v>313</v>
      </c>
    </row>
    <row r="73" spans="1:4" x14ac:dyDescent="0.3">
      <c r="A73" s="70">
        <v>6611.4687000000004</v>
      </c>
      <c r="B73" s="64">
        <v>80</v>
      </c>
      <c r="C73" s="92">
        <v>45</v>
      </c>
      <c r="D73" t="s">
        <v>314</v>
      </c>
    </row>
    <row r="74" spans="1:4" x14ac:dyDescent="0.3">
      <c r="A74" s="70">
        <v>6677.4670999999998</v>
      </c>
      <c r="B74" s="64">
        <v>74</v>
      </c>
      <c r="C74" s="92">
        <v>45</v>
      </c>
      <c r="D74" t="s">
        <v>344</v>
      </c>
    </row>
    <row r="75" spans="1:4" x14ac:dyDescent="0.3">
      <c r="A75" s="70">
        <v>6690.8512000000001</v>
      </c>
      <c r="B75" s="64">
        <v>76</v>
      </c>
      <c r="C75" s="92">
        <v>45</v>
      </c>
      <c r="D75" t="s">
        <v>315</v>
      </c>
    </row>
    <row r="76" spans="1:4" x14ac:dyDescent="0.3">
      <c r="A76" s="70">
        <v>6868.7561999999998</v>
      </c>
      <c r="B76" s="64">
        <v>90</v>
      </c>
      <c r="C76" s="92">
        <v>45</v>
      </c>
      <c r="D76" t="s">
        <v>345</v>
      </c>
    </row>
    <row r="77" spans="1:4" x14ac:dyDescent="0.3">
      <c r="A77" s="70">
        <v>7158.4775</v>
      </c>
      <c r="B77" s="64">
        <v>88</v>
      </c>
      <c r="C77" s="92">
        <v>45</v>
      </c>
      <c r="D77" t="s">
        <v>346</v>
      </c>
    </row>
    <row r="78" spans="1:4" x14ac:dyDescent="0.3">
      <c r="A78" s="70">
        <v>7171.8616000000002</v>
      </c>
      <c r="B78" s="64">
        <v>90</v>
      </c>
      <c r="C78" s="92">
        <v>45</v>
      </c>
      <c r="D78" t="s">
        <v>316</v>
      </c>
    </row>
    <row r="79" spans="1:4" x14ac:dyDescent="0.3">
      <c r="A79" s="70">
        <v>7448.1988000000001</v>
      </c>
      <c r="B79" s="64">
        <v>86</v>
      </c>
      <c r="C79" s="92">
        <v>45</v>
      </c>
      <c r="D79" t="s">
        <v>347</v>
      </c>
    </row>
    <row r="80" spans="1:4" x14ac:dyDescent="0.3">
      <c r="A80" s="70">
        <v>7461.5829000000003</v>
      </c>
      <c r="B80" s="64">
        <v>88</v>
      </c>
      <c r="C80" s="92">
        <v>45</v>
      </c>
      <c r="D80" t="s">
        <v>317</v>
      </c>
    </row>
    <row r="81" spans="1:4" x14ac:dyDescent="0.3">
      <c r="A81" s="70">
        <v>7474.9669999999996</v>
      </c>
      <c r="B81" s="64">
        <v>90</v>
      </c>
      <c r="C81" s="92">
        <v>45</v>
      </c>
      <c r="D81" t="s">
        <v>318</v>
      </c>
    </row>
    <row r="82" spans="1:4" x14ac:dyDescent="0.3">
      <c r="A82" s="70">
        <v>7554.3495000000003</v>
      </c>
      <c r="B82" s="64">
        <v>86</v>
      </c>
      <c r="C82" s="92">
        <v>45</v>
      </c>
      <c r="D82" t="s">
        <v>348</v>
      </c>
    </row>
    <row r="83" spans="1:4" x14ac:dyDescent="0.3">
      <c r="A83" s="70">
        <v>8035.3599000000004</v>
      </c>
      <c r="B83" s="64">
        <v>100</v>
      </c>
      <c r="C83" s="92">
        <v>45</v>
      </c>
      <c r="D83" t="s">
        <v>349</v>
      </c>
    </row>
    <row r="84" spans="1:4" x14ac:dyDescent="0.3">
      <c r="A84" s="70">
        <v>8325.0812000000005</v>
      </c>
      <c r="B84" s="64">
        <v>98</v>
      </c>
      <c r="C84" s="92">
        <v>45</v>
      </c>
      <c r="D84" t="s">
        <v>350</v>
      </c>
    </row>
    <row r="85" spans="1:4" x14ac:dyDescent="0.3">
      <c r="A85" s="70">
        <v>8338.4652999999998</v>
      </c>
      <c r="B85" s="64">
        <v>100</v>
      </c>
      <c r="C85" s="92">
        <v>45</v>
      </c>
      <c r="D85" t="s">
        <v>319</v>
      </c>
    </row>
    <row r="86" spans="1:4" x14ac:dyDescent="0.3">
      <c r="A86" s="70">
        <v>9201.9635999999991</v>
      </c>
      <c r="B86" s="64">
        <v>110</v>
      </c>
      <c r="C86" s="92">
        <v>45</v>
      </c>
      <c r="D86" t="s">
        <v>351</v>
      </c>
    </row>
  </sheetData>
  <sheetProtection selectLockedCells="1"/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autoPageBreaks="0"/>
  </sheetPr>
  <dimension ref="B1:R51"/>
  <sheetViews>
    <sheetView showGridLines="0" tabSelected="1" workbookViewId="0">
      <selection activeCell="Q34" sqref="Q34"/>
    </sheetView>
  </sheetViews>
  <sheetFormatPr defaultRowHeight="14.4" x14ac:dyDescent="0.3"/>
  <cols>
    <col min="13" max="13" width="23.5546875" customWidth="1"/>
    <col min="14" max="14" width="4.33203125" customWidth="1"/>
    <col min="15" max="15" width="30.5546875" customWidth="1"/>
    <col min="16" max="16" width="17.88671875" customWidth="1"/>
    <col min="17" max="17" width="14.5546875" customWidth="1"/>
  </cols>
  <sheetData>
    <row r="1" spans="2:18" ht="39" customHeight="1" x14ac:dyDescent="0.65">
      <c r="B1" s="764" t="s">
        <v>252</v>
      </c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O1" s="765"/>
      <c r="P1" s="765"/>
      <c r="Q1" s="765"/>
    </row>
    <row r="3" spans="2:18" ht="30" customHeight="1" x14ac:dyDescent="0.6">
      <c r="B3" s="784" t="s">
        <v>248</v>
      </c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O3" s="792" t="s">
        <v>138</v>
      </c>
      <c r="P3" s="667"/>
      <c r="Q3" s="793"/>
    </row>
    <row r="4" spans="2:18" ht="16.2" thickBot="1" x14ac:dyDescent="0.35">
      <c r="B4" s="564" t="s">
        <v>217</v>
      </c>
      <c r="C4" s="562" t="s">
        <v>218</v>
      </c>
      <c r="D4" s="563" t="s">
        <v>353</v>
      </c>
      <c r="E4" s="565"/>
      <c r="F4" s="565"/>
      <c r="G4" s="560"/>
      <c r="H4" s="560"/>
      <c r="I4" s="560"/>
      <c r="J4" s="560"/>
      <c r="K4" s="560"/>
      <c r="L4" s="560"/>
      <c r="M4" s="560"/>
      <c r="O4" s="794"/>
      <c r="P4" s="668"/>
      <c r="Q4" s="795"/>
    </row>
    <row r="5" spans="2:18" ht="15.6" x14ac:dyDescent="0.3">
      <c r="B5" s="70">
        <f>'Right Through'!A2</f>
        <v>2511.1124</v>
      </c>
      <c r="C5" s="557">
        <f>'Right Through'!B2</f>
        <v>34</v>
      </c>
      <c r="D5" s="781" t="str">
        <f>'Right Through'!D2</f>
        <v>10ft-Revs. Head Plow  + 12ft-RH w/Tow Plow</v>
      </c>
      <c r="E5" s="782"/>
      <c r="F5" s="782"/>
      <c r="G5" s="782"/>
      <c r="H5" s="782"/>
      <c r="I5" s="782"/>
      <c r="J5" s="782"/>
      <c r="K5" s="782"/>
      <c r="L5" s="782"/>
      <c r="M5" s="783"/>
      <c r="O5" s="671" t="s">
        <v>128</v>
      </c>
      <c r="P5" s="672"/>
      <c r="Q5" s="359">
        <f>'User Interface'!P27</f>
        <v>14</v>
      </c>
    </row>
    <row r="6" spans="2:18" ht="15.6" x14ac:dyDescent="0.3">
      <c r="B6" s="70">
        <f>'Right Through'!A3</f>
        <v>2524.4965000000002</v>
      </c>
      <c r="C6" s="557">
        <f>'Right Through'!B3</f>
        <v>36</v>
      </c>
      <c r="D6" s="772" t="str">
        <f>'Right Through'!D3</f>
        <v>12ft RH Head Plow + 12ft-RH w/Tow Plow</v>
      </c>
      <c r="E6" s="773"/>
      <c r="F6" s="773"/>
      <c r="G6" s="773"/>
      <c r="H6" s="773"/>
      <c r="I6" s="773"/>
      <c r="J6" s="773"/>
      <c r="K6" s="773"/>
      <c r="L6" s="773"/>
      <c r="M6" s="774"/>
      <c r="O6" s="675" t="s">
        <v>216</v>
      </c>
      <c r="P6" s="676"/>
      <c r="Q6" s="360">
        <f>'User Interface'!P28</f>
        <v>14</v>
      </c>
    </row>
    <row r="7" spans="2:18" ht="15.6" x14ac:dyDescent="0.3">
      <c r="B7" s="70">
        <f>'Right Through'!A4</f>
        <v>2590.4949000000001</v>
      </c>
      <c r="C7" s="557">
        <f>'Right Through'!B4</f>
        <v>30</v>
      </c>
      <c r="D7" s="772" t="str">
        <f>'Right Through'!D4</f>
        <v xml:space="preserve">10ft-Revs. Head Plow  + 10ft-Revs. Head Plow  + 10ft-Revs. Head Plow </v>
      </c>
      <c r="E7" s="773"/>
      <c r="F7" s="773"/>
      <c r="G7" s="773"/>
      <c r="H7" s="773"/>
      <c r="I7" s="773"/>
      <c r="J7" s="773"/>
      <c r="K7" s="773"/>
      <c r="L7" s="773"/>
      <c r="M7" s="774"/>
      <c r="O7" s="671" t="s">
        <v>129</v>
      </c>
      <c r="P7" s="672"/>
      <c r="Q7" s="361">
        <f>'User Interface'!P29</f>
        <v>9</v>
      </c>
    </row>
    <row r="8" spans="2:18" ht="16.2" thickBot="1" x14ac:dyDescent="0.35">
      <c r="B8" s="70">
        <f>'Right Through'!A5</f>
        <v>2603.8789999999999</v>
      </c>
      <c r="C8" s="557">
        <f>'Right Through'!B5</f>
        <v>32</v>
      </c>
      <c r="D8" s="772" t="str">
        <f>'Right Through'!D5</f>
        <v xml:space="preserve">12ft RH Head Plow + 10ft-Revs. Head Plow  + 10ft-Revs. Head Plow </v>
      </c>
      <c r="E8" s="773"/>
      <c r="F8" s="773"/>
      <c r="G8" s="773"/>
      <c r="H8" s="773"/>
      <c r="I8" s="773"/>
      <c r="J8" s="773"/>
      <c r="K8" s="773"/>
      <c r="L8" s="773"/>
      <c r="M8" s="774"/>
      <c r="O8" s="796" t="s">
        <v>130</v>
      </c>
      <c r="P8" s="797"/>
      <c r="Q8" s="574">
        <f>'User Interface'!P30</f>
        <v>9</v>
      </c>
    </row>
    <row r="9" spans="2:18" x14ac:dyDescent="0.3">
      <c r="B9" s="70">
        <f>'Right Through'!A6</f>
        <v>2617.2631000000001</v>
      </c>
      <c r="C9" s="557">
        <f>'Right Through'!B6</f>
        <v>34</v>
      </c>
      <c r="D9" s="772" t="str">
        <f>'Right Through'!D6</f>
        <v xml:space="preserve">12ft RH Head Plow + 12ft RH Head Plow + 10ft-Revs. Head Plow </v>
      </c>
      <c r="E9" s="773"/>
      <c r="F9" s="773"/>
      <c r="G9" s="773"/>
      <c r="H9" s="773"/>
      <c r="I9" s="773"/>
      <c r="J9" s="773"/>
      <c r="K9" s="773"/>
      <c r="L9" s="773"/>
      <c r="M9" s="774"/>
      <c r="O9" s="2"/>
      <c r="P9" s="2"/>
    </row>
    <row r="10" spans="2:18" ht="15.6" x14ac:dyDescent="0.3">
      <c r="B10" s="70">
        <f>'Right Through'!A7</f>
        <v>2630.6471999999999</v>
      </c>
      <c r="C10" s="557">
        <f>'Right Through'!B7</f>
        <v>36</v>
      </c>
      <c r="D10" s="772" t="str">
        <f>'Right Through'!D7</f>
        <v>12ft RH Head Plow + 12ft RH Head Plow + 12ft RH Head Plow</v>
      </c>
      <c r="E10" s="773"/>
      <c r="F10" s="773"/>
      <c r="G10" s="773"/>
      <c r="H10" s="773"/>
      <c r="I10" s="773"/>
      <c r="J10" s="773"/>
      <c r="K10" s="773"/>
      <c r="L10" s="773"/>
      <c r="M10" s="774"/>
      <c r="O10" s="798"/>
      <c r="P10" s="798"/>
      <c r="Q10" s="573"/>
      <c r="R10" s="2"/>
    </row>
    <row r="11" spans="2:18" x14ac:dyDescent="0.3">
      <c r="B11" s="70">
        <f>'Right Through'!A8</f>
        <v>2814.2177999999999</v>
      </c>
      <c r="C11" s="557">
        <f>'Right Through'!B8</f>
        <v>34</v>
      </c>
      <c r="D11" s="772" t="str">
        <f>'Right Through'!D8</f>
        <v>10ft Revs. - 8ft LH Wing + 12ft-RH w/Tow Plow</v>
      </c>
      <c r="E11" s="773"/>
      <c r="F11" s="773"/>
      <c r="G11" s="773"/>
      <c r="H11" s="773"/>
      <c r="I11" s="773"/>
      <c r="J11" s="773"/>
      <c r="K11" s="773"/>
      <c r="L11" s="773"/>
      <c r="M11" s="774"/>
      <c r="O11" s="2"/>
      <c r="P11" s="2"/>
      <c r="Q11" s="2"/>
    </row>
    <row r="12" spans="2:18" x14ac:dyDescent="0.3">
      <c r="B12" s="70">
        <f>'Right Through'!A9</f>
        <v>2893.6003000000001</v>
      </c>
      <c r="C12" s="557">
        <f>'Right Through'!B9</f>
        <v>30</v>
      </c>
      <c r="D12" s="772" t="str">
        <f>'Right Through'!D9</f>
        <v>10ft-Revs. Head Plow  + 10ft-Revs. Head Plow  + 10ft Revs. - 8ft LH Wing</v>
      </c>
      <c r="E12" s="773"/>
      <c r="F12" s="773"/>
      <c r="G12" s="773"/>
      <c r="H12" s="773"/>
      <c r="I12" s="773"/>
      <c r="J12" s="773"/>
      <c r="K12" s="773"/>
      <c r="L12" s="773"/>
      <c r="M12" s="774"/>
    </row>
    <row r="13" spans="2:18" x14ac:dyDescent="0.3">
      <c r="B13" s="558">
        <f>'Right Through'!A10</f>
        <v>2906.9843999999998</v>
      </c>
      <c r="C13" s="559">
        <f>'Right Through'!B10</f>
        <v>32</v>
      </c>
      <c r="D13" s="778" t="str">
        <f>'Right Through'!D10</f>
        <v>12ft RH Head Plow + 10ft-Revs. Head Plow  + 10ft Revs. - 8ft LH Wing</v>
      </c>
      <c r="E13" s="779"/>
      <c r="F13" s="779"/>
      <c r="G13" s="779"/>
      <c r="H13" s="779"/>
      <c r="I13" s="779"/>
      <c r="J13" s="779"/>
      <c r="K13" s="779"/>
      <c r="L13" s="779"/>
      <c r="M13" s="780"/>
    </row>
    <row r="14" spans="2:18" x14ac:dyDescent="0.3">
      <c r="Q14" s="2"/>
    </row>
    <row r="15" spans="2:18" ht="24.9" customHeight="1" x14ac:dyDescent="0.3">
      <c r="B15" s="786" t="s">
        <v>249</v>
      </c>
      <c r="C15" s="787"/>
      <c r="D15" s="787"/>
      <c r="E15" s="787"/>
      <c r="F15" s="787"/>
      <c r="G15" s="787"/>
      <c r="H15" s="787"/>
      <c r="I15" s="787"/>
      <c r="J15" s="787"/>
      <c r="K15" s="787"/>
      <c r="L15" s="787"/>
      <c r="M15" s="787"/>
    </row>
    <row r="16" spans="2:18" ht="15.6" x14ac:dyDescent="0.3">
      <c r="B16" s="564" t="s">
        <v>217</v>
      </c>
      <c r="C16" s="562" t="s">
        <v>218</v>
      </c>
      <c r="D16" s="563" t="s">
        <v>353</v>
      </c>
      <c r="E16" s="560"/>
      <c r="F16" s="560"/>
      <c r="G16" s="560"/>
      <c r="H16" s="560"/>
      <c r="I16" s="560"/>
      <c r="J16" s="560"/>
      <c r="K16" s="560"/>
      <c r="L16" s="560"/>
      <c r="M16" s="560"/>
    </row>
    <row r="17" spans="2:13" x14ac:dyDescent="0.3">
      <c r="B17" s="70">
        <f>'Left Through'!A2</f>
        <v>1166.6036999999999</v>
      </c>
      <c r="C17" s="557">
        <f>'Left Through'!B2</f>
        <v>16</v>
      </c>
      <c r="D17" s="781" t="str">
        <f>'Left Through'!D2</f>
        <v>10ft Revs. - 8ft LH Wing</v>
      </c>
      <c r="E17" s="782"/>
      <c r="F17" s="782"/>
      <c r="G17" s="782"/>
      <c r="H17" s="782"/>
      <c r="I17" s="782"/>
      <c r="J17" s="782"/>
      <c r="K17" s="782"/>
      <c r="L17" s="782"/>
      <c r="M17" s="783"/>
    </row>
    <row r="18" spans="2:13" x14ac:dyDescent="0.3">
      <c r="B18" s="70">
        <f>'Left Through'!A3</f>
        <v>1726.9965999999999</v>
      </c>
      <c r="C18" s="557">
        <f>'Left Through'!B3</f>
        <v>20</v>
      </c>
      <c r="D18" s="772" t="str">
        <f>'Left Through'!D3</f>
        <v xml:space="preserve">10ft-Revs. Head Plow  + 10ft-Revs. Head Plow </v>
      </c>
      <c r="E18" s="773"/>
      <c r="F18" s="773"/>
      <c r="G18" s="773"/>
      <c r="H18" s="773"/>
      <c r="I18" s="773"/>
      <c r="J18" s="773"/>
      <c r="K18" s="773"/>
      <c r="L18" s="773"/>
      <c r="M18" s="774"/>
    </row>
    <row r="19" spans="2:13" x14ac:dyDescent="0.3">
      <c r="B19" s="70">
        <f>'Left Through'!A4</f>
        <v>2030.1020000000001</v>
      </c>
      <c r="C19" s="557">
        <f>'Left Through'!B4</f>
        <v>26</v>
      </c>
      <c r="D19" s="772" t="str">
        <f>'Left Through'!D4</f>
        <v>10ft-Revs. Head Plow  + 10ft Revs. - 8ft LH Wing</v>
      </c>
      <c r="E19" s="773"/>
      <c r="F19" s="773"/>
      <c r="G19" s="773"/>
      <c r="H19" s="773"/>
      <c r="I19" s="773"/>
      <c r="J19" s="773"/>
      <c r="K19" s="773"/>
      <c r="L19" s="773"/>
      <c r="M19" s="774"/>
    </row>
    <row r="20" spans="2:13" x14ac:dyDescent="0.3">
      <c r="B20" s="70">
        <f>'Left Through'!A5</f>
        <v>2333.2073999999998</v>
      </c>
      <c r="C20" s="557">
        <f>'Left Through'!B5</f>
        <v>32</v>
      </c>
      <c r="D20" s="772" t="str">
        <f>'Left Through'!D5</f>
        <v>10ft Revs. - 8ft LH Wing + 10ft Revs. - 8ft LH Wing</v>
      </c>
      <c r="E20" s="773"/>
      <c r="F20" s="773"/>
      <c r="G20" s="773"/>
      <c r="H20" s="773"/>
      <c r="I20" s="773"/>
      <c r="J20" s="773"/>
      <c r="K20" s="773"/>
      <c r="L20" s="773"/>
      <c r="M20" s="774"/>
    </row>
    <row r="21" spans="2:13" x14ac:dyDescent="0.3">
      <c r="B21" s="70">
        <f>'Left Through'!A6</f>
        <v>2511.1124</v>
      </c>
      <c r="C21" s="557">
        <f>'Left Through'!B6</f>
        <v>22</v>
      </c>
      <c r="D21" s="772" t="str">
        <f>'Left Through'!D6</f>
        <v>10ft-Revs. Head Plow  + 12ft-RH w/Tow Plow</v>
      </c>
      <c r="E21" s="773"/>
      <c r="F21" s="773"/>
      <c r="G21" s="773"/>
      <c r="H21" s="773"/>
      <c r="I21" s="773"/>
      <c r="J21" s="773"/>
      <c r="K21" s="773"/>
      <c r="L21" s="773"/>
      <c r="M21" s="774"/>
    </row>
    <row r="22" spans="2:13" x14ac:dyDescent="0.3">
      <c r="B22" s="70">
        <f>'Left Through'!A7</f>
        <v>2590.4949000000001</v>
      </c>
      <c r="C22" s="557">
        <f>'Left Through'!B7</f>
        <v>30</v>
      </c>
      <c r="D22" s="772" t="str">
        <f>'Left Through'!D7</f>
        <v xml:space="preserve">10ft-Revs. Head Plow  + 10ft-Revs. Head Plow  + 10ft-Revs. Head Plow </v>
      </c>
      <c r="E22" s="773"/>
      <c r="F22" s="773"/>
      <c r="G22" s="773"/>
      <c r="H22" s="773"/>
      <c r="I22" s="773"/>
      <c r="J22" s="773"/>
      <c r="K22" s="773"/>
      <c r="L22" s="773"/>
      <c r="M22" s="774"/>
    </row>
    <row r="23" spans="2:13" x14ac:dyDescent="0.3">
      <c r="B23" s="70">
        <f>'Left Through'!A8</f>
        <v>2814.2177999999999</v>
      </c>
      <c r="C23" s="557">
        <f>'Left Through'!B8</f>
        <v>28</v>
      </c>
      <c r="D23" s="772" t="str">
        <f>'Left Through'!D8</f>
        <v>10ft Revs. - 8ft LH Wing + 12ft-RH w/Tow Plow</v>
      </c>
      <c r="E23" s="773"/>
      <c r="F23" s="773"/>
      <c r="G23" s="773"/>
      <c r="H23" s="773"/>
      <c r="I23" s="773"/>
      <c r="J23" s="773"/>
      <c r="K23" s="773"/>
      <c r="L23" s="773"/>
      <c r="M23" s="774"/>
    </row>
    <row r="24" spans="2:13" x14ac:dyDescent="0.3">
      <c r="B24" s="70">
        <f>'Left Through'!A9</f>
        <v>2893.6003000000001</v>
      </c>
      <c r="C24" s="557">
        <f>'Left Through'!B9</f>
        <v>36</v>
      </c>
      <c r="D24" s="772" t="str">
        <f>'Left Through'!D9</f>
        <v>10ft-Revs. Head Plow  + 10ft-Revs. Head Plow  + 10ft Revs. - 8ft LH Wing</v>
      </c>
      <c r="E24" s="773"/>
      <c r="F24" s="773"/>
      <c r="G24" s="773"/>
      <c r="H24" s="773"/>
      <c r="I24" s="773"/>
      <c r="J24" s="773"/>
      <c r="K24" s="773"/>
      <c r="L24" s="773"/>
      <c r="M24" s="774"/>
    </row>
    <row r="25" spans="2:13" x14ac:dyDescent="0.3">
      <c r="B25" s="70">
        <f>'Left Through'!A10</f>
        <v>3196.7057</v>
      </c>
      <c r="C25" s="557">
        <f>'Left Through'!B10</f>
        <v>42</v>
      </c>
      <c r="D25" s="778" t="str">
        <f>'Left Through'!D10</f>
        <v>10ft-Revs. Head Plow  + 10ft Revs. - 8ft LH Wing + 10ft Revs. - 8ft LH Wing</v>
      </c>
      <c r="E25" s="779"/>
      <c r="F25" s="779"/>
      <c r="G25" s="779"/>
      <c r="H25" s="779"/>
      <c r="I25" s="779"/>
      <c r="J25" s="779"/>
      <c r="K25" s="779"/>
      <c r="L25" s="779"/>
      <c r="M25" s="780"/>
    </row>
    <row r="26" spans="2:13" x14ac:dyDescent="0.3">
      <c r="B26" s="8"/>
      <c r="C26" s="8"/>
    </row>
    <row r="27" spans="2:13" ht="24.9" customHeight="1" x14ac:dyDescent="0.3">
      <c r="B27" s="788" t="s">
        <v>250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</row>
    <row r="28" spans="2:13" ht="15.6" x14ac:dyDescent="0.3">
      <c r="B28" s="567" t="s">
        <v>217</v>
      </c>
      <c r="C28" s="566" t="s">
        <v>218</v>
      </c>
      <c r="D28" s="563" t="s">
        <v>353</v>
      </c>
      <c r="E28" s="560"/>
      <c r="F28" s="560"/>
      <c r="G28" s="560"/>
      <c r="H28" s="560"/>
      <c r="I28" s="560"/>
      <c r="J28" s="560"/>
      <c r="K28" s="560"/>
      <c r="L28" s="560"/>
      <c r="M28" s="560"/>
    </row>
    <row r="29" spans="2:13" ht="15.6" x14ac:dyDescent="0.3">
      <c r="B29" s="569">
        <f>'Diverge Right'!A2</f>
        <v>863.49829999999997</v>
      </c>
      <c r="C29" s="568">
        <f>'Diverge Right'!B2</f>
        <v>10</v>
      </c>
      <c r="D29" s="769" t="str">
        <f>'Diverge Right'!D2</f>
        <v xml:space="preserve">10ft-Revs. Head Plow </v>
      </c>
      <c r="E29" s="770"/>
      <c r="F29" s="770"/>
      <c r="G29" s="770"/>
      <c r="H29" s="770"/>
      <c r="I29" s="770"/>
      <c r="J29" s="770"/>
      <c r="K29" s="770"/>
      <c r="L29" s="770"/>
      <c r="M29" s="771"/>
    </row>
    <row r="30" spans="2:13" ht="15.6" x14ac:dyDescent="0.3">
      <c r="B30" s="570">
        <f>'Diverge Right'!A3</f>
        <v>876.88239999999996</v>
      </c>
      <c r="C30" s="568">
        <f>'Diverge Right'!B3</f>
        <v>12</v>
      </c>
      <c r="D30" s="766" t="str">
        <f>'Diverge Right'!D3</f>
        <v>12ft RH Head Plow</v>
      </c>
      <c r="E30" s="767"/>
      <c r="F30" s="767"/>
      <c r="G30" s="767"/>
      <c r="H30" s="767"/>
      <c r="I30" s="767"/>
      <c r="J30" s="767"/>
      <c r="K30" s="767"/>
      <c r="L30" s="767"/>
      <c r="M30" s="768"/>
    </row>
    <row r="31" spans="2:13" ht="15.6" x14ac:dyDescent="0.3">
      <c r="B31" s="570">
        <f>'Diverge Right'!A4</f>
        <v>1166.6036999999999</v>
      </c>
      <c r="C31" s="568">
        <f>'Diverge Right'!B4</f>
        <v>10</v>
      </c>
      <c r="D31" s="766" t="str">
        <f>'Diverge Right'!D4</f>
        <v>10ft Revs. - 8ft LH Wing</v>
      </c>
      <c r="E31" s="767"/>
      <c r="F31" s="767"/>
      <c r="G31" s="767"/>
      <c r="H31" s="767"/>
      <c r="I31" s="767"/>
      <c r="J31" s="767"/>
      <c r="K31" s="767"/>
      <c r="L31" s="767"/>
      <c r="M31" s="768"/>
    </row>
    <row r="32" spans="2:13" ht="15.6" x14ac:dyDescent="0.3">
      <c r="B32" s="570">
        <f>'Diverge Right'!A5</f>
        <v>1647.6141</v>
      </c>
      <c r="C32" s="568">
        <f>'Diverge Right'!B5</f>
        <v>24</v>
      </c>
      <c r="D32" s="766" t="str">
        <f>'Diverge Right'!D5</f>
        <v>12ft-RH w/Tow Plow</v>
      </c>
      <c r="E32" s="767"/>
      <c r="F32" s="767"/>
      <c r="G32" s="767"/>
      <c r="H32" s="767"/>
      <c r="I32" s="767"/>
      <c r="J32" s="767"/>
      <c r="K32" s="767"/>
      <c r="L32" s="767"/>
      <c r="M32" s="768"/>
    </row>
    <row r="33" spans="2:14" ht="15.6" x14ac:dyDescent="0.3">
      <c r="B33" s="570">
        <f>'Diverge Right'!A6</f>
        <v>1726.9965999999999</v>
      </c>
      <c r="C33" s="568">
        <f>'Diverge Right'!B6</f>
        <v>20</v>
      </c>
      <c r="D33" s="766" t="str">
        <f>'Diverge Right'!D6</f>
        <v xml:space="preserve">10ft-Revs. Head Plow  + 10ft-Revs. Head Plow </v>
      </c>
      <c r="E33" s="767"/>
      <c r="F33" s="767"/>
      <c r="G33" s="767"/>
      <c r="H33" s="767"/>
      <c r="I33" s="767"/>
      <c r="J33" s="767"/>
      <c r="K33" s="767"/>
      <c r="L33" s="767"/>
      <c r="M33" s="768"/>
    </row>
    <row r="34" spans="2:14" ht="15.6" x14ac:dyDescent="0.3">
      <c r="B34" s="570">
        <f>'Diverge Right'!A7</f>
        <v>1740.3806999999999</v>
      </c>
      <c r="C34" s="568">
        <f>'Diverge Right'!B7</f>
        <v>22</v>
      </c>
      <c r="D34" s="766" t="str">
        <f>'Diverge Right'!D7</f>
        <v xml:space="preserve">12ft RH Head Plow + 10ft-Revs. Head Plow </v>
      </c>
      <c r="E34" s="767"/>
      <c r="F34" s="767"/>
      <c r="G34" s="767"/>
      <c r="H34" s="767"/>
      <c r="I34" s="767"/>
      <c r="J34" s="767"/>
      <c r="K34" s="767"/>
      <c r="L34" s="767"/>
      <c r="M34" s="768"/>
    </row>
    <row r="35" spans="2:14" ht="15.6" x14ac:dyDescent="0.3">
      <c r="B35" s="570">
        <f>'Diverge Right'!A8</f>
        <v>1753.7647999999999</v>
      </c>
      <c r="C35" s="568">
        <f>'Diverge Right'!B8</f>
        <v>24</v>
      </c>
      <c r="D35" s="766" t="str">
        <f>'Diverge Right'!D8</f>
        <v>12ft RH Head Plow + 12ft RH Head Plow</v>
      </c>
      <c r="E35" s="767"/>
      <c r="F35" s="767"/>
      <c r="G35" s="767"/>
      <c r="H35" s="767"/>
      <c r="I35" s="767"/>
      <c r="J35" s="767"/>
      <c r="K35" s="767"/>
      <c r="L35" s="767"/>
      <c r="M35" s="768"/>
    </row>
    <row r="36" spans="2:14" ht="15.6" x14ac:dyDescent="0.3">
      <c r="B36" s="570">
        <f>'Diverge Right'!A9</f>
        <v>2030.1020000000001</v>
      </c>
      <c r="C36" s="568">
        <f>'Diverge Right'!B9</f>
        <v>20</v>
      </c>
      <c r="D36" s="766" t="str">
        <f>'Diverge Right'!D9</f>
        <v>10ft-Revs. Head Plow  + 10ft Revs. - 8ft LH Wing</v>
      </c>
      <c r="E36" s="767"/>
      <c r="F36" s="767"/>
      <c r="G36" s="767"/>
      <c r="H36" s="767"/>
      <c r="I36" s="767"/>
      <c r="J36" s="767"/>
      <c r="K36" s="767"/>
      <c r="L36" s="767"/>
      <c r="M36" s="768"/>
    </row>
    <row r="37" spans="2:14" ht="15.6" x14ac:dyDescent="0.3">
      <c r="B37" s="571">
        <f>'Diverge Right'!A10</f>
        <v>2043.4861000000001</v>
      </c>
      <c r="C37" s="568">
        <f>'Diverge Right'!B10</f>
        <v>22</v>
      </c>
      <c r="D37" s="775" t="str">
        <f>'Diverge Right'!D10</f>
        <v>12ft RH Head Plow + 10ft Revs. - 8ft LH Wing</v>
      </c>
      <c r="E37" s="776"/>
      <c r="F37" s="776"/>
      <c r="G37" s="776"/>
      <c r="H37" s="776"/>
      <c r="I37" s="776"/>
      <c r="J37" s="776"/>
      <c r="K37" s="776"/>
      <c r="L37" s="776"/>
      <c r="M37" s="777"/>
    </row>
    <row r="38" spans="2:14" x14ac:dyDescent="0.3">
      <c r="C38" s="8"/>
    </row>
    <row r="39" spans="2:14" ht="24.9" customHeight="1" x14ac:dyDescent="0.3">
      <c r="B39" s="790" t="s">
        <v>251</v>
      </c>
      <c r="C39" s="791"/>
      <c r="D39" s="791"/>
      <c r="E39" s="791"/>
      <c r="F39" s="791"/>
      <c r="G39" s="791"/>
      <c r="H39" s="791"/>
      <c r="I39" s="791"/>
      <c r="J39" s="791"/>
      <c r="K39" s="791"/>
      <c r="L39" s="791"/>
      <c r="M39" s="791"/>
    </row>
    <row r="40" spans="2:14" ht="15.6" x14ac:dyDescent="0.3">
      <c r="B40" s="561" t="s">
        <v>217</v>
      </c>
      <c r="C40" s="562" t="s">
        <v>218</v>
      </c>
      <c r="D40" s="563" t="s">
        <v>353</v>
      </c>
      <c r="E40" s="560"/>
      <c r="F40" s="560"/>
      <c r="G40" s="560"/>
      <c r="H40" s="560"/>
      <c r="I40" s="560"/>
      <c r="J40" s="560"/>
      <c r="K40" s="560"/>
      <c r="L40" s="560"/>
      <c r="M40" s="560"/>
      <c r="N40" s="2"/>
    </row>
    <row r="41" spans="2:14" x14ac:dyDescent="0.3">
      <c r="B41" s="572">
        <f>'Diverge Left'!A2</f>
        <v>863.49829999999997</v>
      </c>
      <c r="C41" s="557">
        <f>'Diverge Left'!B2</f>
        <v>10</v>
      </c>
      <c r="D41" s="769" t="str">
        <f>'Diverge Left'!D2</f>
        <v xml:space="preserve">10ft-Revs. Head Plow </v>
      </c>
      <c r="E41" s="770"/>
      <c r="F41" s="770"/>
      <c r="G41" s="770"/>
      <c r="H41" s="770"/>
      <c r="I41" s="770"/>
      <c r="J41" s="770"/>
      <c r="K41" s="770"/>
      <c r="L41" s="770"/>
      <c r="M41" s="771"/>
    </row>
    <row r="42" spans="2:14" x14ac:dyDescent="0.3">
      <c r="B42" s="70">
        <f>'Diverge Left'!A3</f>
        <v>1166.6036999999999</v>
      </c>
      <c r="C42" s="557">
        <f>'Diverge Left'!B3</f>
        <v>16</v>
      </c>
      <c r="D42" s="766" t="str">
        <f>'Diverge Left'!D3</f>
        <v>10ft Revs. - 8ft LH Wing</v>
      </c>
      <c r="E42" s="767"/>
      <c r="F42" s="767"/>
      <c r="G42" s="767"/>
      <c r="H42" s="767"/>
      <c r="I42" s="767"/>
      <c r="J42" s="767"/>
      <c r="K42" s="767"/>
      <c r="L42" s="767"/>
      <c r="M42" s="768"/>
    </row>
    <row r="43" spans="2:14" x14ac:dyDescent="0.3">
      <c r="B43" s="70">
        <f>'Diverge Left'!A4</f>
        <v>1647.6141</v>
      </c>
      <c r="C43" s="557">
        <f>'Diverge Left'!B4</f>
        <v>12</v>
      </c>
      <c r="D43" s="766" t="str">
        <f>'Diverge Left'!D4</f>
        <v>12ft-RH w/Tow Plow</v>
      </c>
      <c r="E43" s="767"/>
      <c r="F43" s="767"/>
      <c r="G43" s="767"/>
      <c r="H43" s="767"/>
      <c r="I43" s="767"/>
      <c r="J43" s="767"/>
      <c r="K43" s="767"/>
      <c r="L43" s="767"/>
      <c r="M43" s="768"/>
    </row>
    <row r="44" spans="2:14" x14ac:dyDescent="0.3">
      <c r="B44" s="70">
        <f>'Diverge Left'!A5</f>
        <v>1726.9965999999999</v>
      </c>
      <c r="C44" s="557">
        <f>'Diverge Left'!B5</f>
        <v>20</v>
      </c>
      <c r="D44" s="766" t="str">
        <f>'Diverge Left'!D5</f>
        <v xml:space="preserve">10ft-Revs. Head Plow  + 10ft-Revs. Head Plow </v>
      </c>
      <c r="E44" s="767"/>
      <c r="F44" s="767"/>
      <c r="G44" s="767"/>
      <c r="H44" s="767"/>
      <c r="I44" s="767"/>
      <c r="J44" s="767"/>
      <c r="K44" s="767"/>
      <c r="L44" s="767"/>
      <c r="M44" s="768"/>
    </row>
    <row r="45" spans="2:14" x14ac:dyDescent="0.3">
      <c r="B45" s="70">
        <f>'Diverge Left'!A6</f>
        <v>2030.1020000000001</v>
      </c>
      <c r="C45" s="557">
        <f>'Diverge Left'!B6</f>
        <v>26</v>
      </c>
      <c r="D45" s="766" t="str">
        <f>'Diverge Left'!D6</f>
        <v>10ft-Revs. Head Plow  + 10ft Revs. - 8ft LH Wing</v>
      </c>
      <c r="E45" s="767"/>
      <c r="F45" s="767"/>
      <c r="G45" s="767"/>
      <c r="H45" s="767"/>
      <c r="I45" s="767"/>
      <c r="J45" s="767"/>
      <c r="K45" s="767"/>
      <c r="L45" s="767"/>
      <c r="M45" s="768"/>
    </row>
    <row r="46" spans="2:14" x14ac:dyDescent="0.3">
      <c r="B46" s="70">
        <f>'Diverge Left'!A7</f>
        <v>2333.2073999999998</v>
      </c>
      <c r="C46" s="557">
        <f>'Diverge Left'!B7</f>
        <v>32</v>
      </c>
      <c r="D46" s="766" t="str">
        <f>'Diverge Left'!D7</f>
        <v>10ft Revs. - 8ft LH Wing + 10ft Revs. - 8ft LH Wing</v>
      </c>
      <c r="E46" s="767"/>
      <c r="F46" s="767"/>
      <c r="G46" s="767"/>
      <c r="H46" s="767"/>
      <c r="I46" s="767"/>
      <c r="J46" s="767"/>
      <c r="K46" s="767"/>
      <c r="L46" s="767"/>
      <c r="M46" s="768"/>
    </row>
    <row r="47" spans="2:14" x14ac:dyDescent="0.3">
      <c r="B47" s="70">
        <f>'Diverge Left'!A8</f>
        <v>2511.1124</v>
      </c>
      <c r="C47" s="557">
        <f>'Diverge Left'!B8</f>
        <v>22</v>
      </c>
      <c r="D47" s="766" t="str">
        <f>'Diverge Left'!D8</f>
        <v>10ft-Revs. Head Plow  + 12ft-RH w/Tow Plow</v>
      </c>
      <c r="E47" s="767"/>
      <c r="F47" s="767"/>
      <c r="G47" s="767"/>
      <c r="H47" s="767"/>
      <c r="I47" s="767"/>
      <c r="J47" s="767"/>
      <c r="K47" s="767"/>
      <c r="L47" s="767"/>
      <c r="M47" s="768"/>
    </row>
    <row r="48" spans="2:14" x14ac:dyDescent="0.3">
      <c r="B48" s="70">
        <f>'Diverge Left'!A9</f>
        <v>2590.4949000000001</v>
      </c>
      <c r="C48" s="557">
        <f>'Diverge Left'!B9</f>
        <v>30</v>
      </c>
      <c r="D48" s="766" t="str">
        <f>'Diverge Left'!D9</f>
        <v xml:space="preserve">10ft-Revs. Head Plow  + 10ft-Revs. Head Plow  + 10ft-Revs. Head Plow </v>
      </c>
      <c r="E48" s="767"/>
      <c r="F48" s="767"/>
      <c r="G48" s="767"/>
      <c r="H48" s="767"/>
      <c r="I48" s="767"/>
      <c r="J48" s="767"/>
      <c r="K48" s="767"/>
      <c r="L48" s="767"/>
      <c r="M48" s="768"/>
    </row>
    <row r="49" spans="2:15" x14ac:dyDescent="0.3">
      <c r="B49" s="558">
        <f>'Diverge Left'!A10</f>
        <v>2814.2177999999999</v>
      </c>
      <c r="C49" s="559">
        <f>'Diverge Left'!B10</f>
        <v>28</v>
      </c>
      <c r="D49" s="775" t="str">
        <f>'Diverge Left'!D10</f>
        <v>10ft Revs. - 8ft LH Wing + 12ft-RH w/Tow Plow</v>
      </c>
      <c r="E49" s="776"/>
      <c r="F49" s="776"/>
      <c r="G49" s="776"/>
      <c r="H49" s="776"/>
      <c r="I49" s="776"/>
      <c r="J49" s="776"/>
      <c r="K49" s="776"/>
      <c r="L49" s="776"/>
      <c r="M49" s="777"/>
    </row>
    <row r="51" spans="2:15" x14ac:dyDescent="0.3">
      <c r="O51" s="2"/>
    </row>
  </sheetData>
  <sheetProtection algorithmName="SHA-512" hashValue="YlGHXUVrMQkBO+CZiItsaXz6Kyq8DSiYZQyGlrZKSmXHImlAsQitTkjVs2nLLaTYYHwsRt1PJNJRP7r9DG1MOg==" saltValue="fVfyq012jL8jOzryr+Pf+A==" spinCount="100000" sheet="1" formatCells="0" formatColumns="0" formatRows="0" insertColumns="0" insertRows="0" insertHyperlinks="0" deleteColumns="0" deleteRows="0" selectLockedCells="1" sort="0" autoFilter="0" pivotTables="0"/>
  <mergeCells count="48">
    <mergeCell ref="B3:M3"/>
    <mergeCell ref="B15:M15"/>
    <mergeCell ref="B27:M27"/>
    <mergeCell ref="B39:M39"/>
    <mergeCell ref="O3:Q3"/>
    <mergeCell ref="O4:Q4"/>
    <mergeCell ref="O5:P5"/>
    <mergeCell ref="O6:P6"/>
    <mergeCell ref="O7:P7"/>
    <mergeCell ref="O8:P8"/>
    <mergeCell ref="O10:P10"/>
    <mergeCell ref="D5:M5"/>
    <mergeCell ref="D6:M6"/>
    <mergeCell ref="D7:M7"/>
    <mergeCell ref="D8:M8"/>
    <mergeCell ref="D9:M9"/>
    <mergeCell ref="D10:M10"/>
    <mergeCell ref="D25:M25"/>
    <mergeCell ref="D11:M11"/>
    <mergeCell ref="D12:M12"/>
    <mergeCell ref="D13:M13"/>
    <mergeCell ref="D17:M17"/>
    <mergeCell ref="D18:M18"/>
    <mergeCell ref="D19:M19"/>
    <mergeCell ref="D48:M48"/>
    <mergeCell ref="D49:M49"/>
    <mergeCell ref="D35:M35"/>
    <mergeCell ref="D36:M36"/>
    <mergeCell ref="D37:M37"/>
    <mergeCell ref="D41:M41"/>
    <mergeCell ref="D42:M42"/>
    <mergeCell ref="D43:M43"/>
    <mergeCell ref="B1:Q1"/>
    <mergeCell ref="D44:M44"/>
    <mergeCell ref="D45:M45"/>
    <mergeCell ref="D46:M46"/>
    <mergeCell ref="D47:M47"/>
    <mergeCell ref="D29:M29"/>
    <mergeCell ref="D30:M30"/>
    <mergeCell ref="D31:M31"/>
    <mergeCell ref="D32:M32"/>
    <mergeCell ref="D33:M33"/>
    <mergeCell ref="D34:M34"/>
    <mergeCell ref="D20:M20"/>
    <mergeCell ref="D21:M21"/>
    <mergeCell ref="D22:M22"/>
    <mergeCell ref="D23:M23"/>
    <mergeCell ref="D24:M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AA87"/>
  <sheetViews>
    <sheetView showGridLines="0" zoomScale="90" zoomScaleNormal="90" workbookViewId="0">
      <selection activeCell="M30" sqref="M30"/>
    </sheetView>
  </sheetViews>
  <sheetFormatPr defaultRowHeight="14.4" x14ac:dyDescent="0.3"/>
  <cols>
    <col min="1" max="1" width="2.33203125" style="1" customWidth="1"/>
    <col min="2" max="2" width="29.33203125" customWidth="1"/>
    <col min="3" max="3" width="18.44140625" customWidth="1"/>
    <col min="4" max="4" width="17.88671875" customWidth="1"/>
    <col min="5" max="5" width="14.109375" customWidth="1"/>
    <col min="6" max="6" width="19.5546875" customWidth="1"/>
    <col min="7" max="7" width="16.6640625" customWidth="1"/>
    <col min="8" max="8" width="17.88671875" customWidth="1"/>
    <col min="9" max="9" width="18.33203125" customWidth="1"/>
    <col min="10" max="10" width="16.44140625" customWidth="1"/>
    <col min="11" max="11" width="18.109375" customWidth="1"/>
    <col min="12" max="12" width="16.33203125" customWidth="1"/>
    <col min="13" max="13" width="16.33203125" style="3" customWidth="1"/>
    <col min="14" max="14" width="17" style="3" customWidth="1"/>
    <col min="15" max="15" width="21.44140625" style="3" customWidth="1"/>
    <col min="16" max="16" width="22" customWidth="1"/>
    <col min="17" max="17" width="20.33203125" style="19" customWidth="1"/>
    <col min="18" max="18" width="14.88671875" customWidth="1"/>
    <col min="19" max="19" width="12" customWidth="1"/>
    <col min="20" max="20" width="15.5546875" customWidth="1"/>
    <col min="21" max="21" width="13.6640625" customWidth="1"/>
  </cols>
  <sheetData>
    <row r="1" spans="2:27" s="3" customFormat="1" ht="39.9" customHeight="1" x14ac:dyDescent="0.3">
      <c r="B1" s="731" t="s">
        <v>5</v>
      </c>
      <c r="C1" s="731"/>
      <c r="D1" s="731"/>
      <c r="E1" s="731"/>
      <c r="F1" s="731"/>
      <c r="G1" s="731"/>
      <c r="H1" s="731"/>
      <c r="I1" s="731"/>
      <c r="J1" s="46"/>
      <c r="K1" s="81"/>
      <c r="L1" s="166"/>
      <c r="M1" s="166"/>
      <c r="N1" s="166"/>
      <c r="O1" s="166"/>
      <c r="P1" s="166"/>
      <c r="Q1" s="166"/>
      <c r="R1" s="167"/>
      <c r="S1" s="80"/>
      <c r="T1" s="80"/>
      <c r="U1" s="80"/>
      <c r="V1" s="80"/>
      <c r="W1" s="80"/>
      <c r="X1" s="80"/>
      <c r="Y1" s="80"/>
      <c r="Z1" s="80"/>
      <c r="AA1" s="80"/>
    </row>
    <row r="2" spans="2:27" ht="15" thickBot="1" x14ac:dyDescent="0.35">
      <c r="B2" s="20"/>
      <c r="C2" s="20"/>
      <c r="D2" s="20"/>
      <c r="E2" s="20"/>
      <c r="F2" s="20"/>
      <c r="G2" s="20"/>
      <c r="H2" s="20"/>
      <c r="I2" s="44"/>
      <c r="J2" s="44"/>
      <c r="K2" s="292"/>
      <c r="L2" s="240"/>
      <c r="M2" s="633"/>
      <c r="N2" s="633"/>
      <c r="O2" s="633"/>
      <c r="P2" s="240"/>
      <c r="Q2" s="240"/>
      <c r="R2" s="169"/>
      <c r="S2" s="75"/>
      <c r="T2" s="75"/>
      <c r="U2" s="75"/>
      <c r="V2" s="75"/>
      <c r="W2" s="75"/>
      <c r="X2" s="75"/>
      <c r="Y2" s="75"/>
      <c r="Z2" s="75"/>
      <c r="AA2" s="75"/>
    </row>
    <row r="3" spans="2:27" ht="24.9" customHeight="1" thickBot="1" x14ac:dyDescent="0.35">
      <c r="B3" s="734" t="s">
        <v>4</v>
      </c>
      <c r="C3" s="734"/>
      <c r="D3" s="734"/>
      <c r="E3" s="734"/>
      <c r="F3" s="734"/>
      <c r="G3" s="734"/>
      <c r="H3" s="734"/>
      <c r="I3" s="75"/>
      <c r="J3" s="75"/>
      <c r="K3" s="292"/>
      <c r="L3" s="733" t="s">
        <v>61</v>
      </c>
      <c r="M3" s="732"/>
      <c r="N3" s="732"/>
      <c r="O3" s="633"/>
      <c r="P3" s="240"/>
      <c r="Q3" s="240"/>
      <c r="R3" s="182"/>
      <c r="S3" s="75"/>
      <c r="T3" s="75"/>
      <c r="U3" s="75"/>
      <c r="V3" s="75"/>
      <c r="W3" s="75"/>
      <c r="X3" s="75"/>
      <c r="Y3" s="75"/>
      <c r="Z3" s="75"/>
      <c r="AA3" s="75"/>
    </row>
    <row r="4" spans="2:27" ht="56.25" customHeight="1" thickTop="1" thickBot="1" x14ac:dyDescent="0.35">
      <c r="B4" s="104" t="s">
        <v>0</v>
      </c>
      <c r="C4" s="103" t="s">
        <v>155</v>
      </c>
      <c r="D4" s="103" t="s">
        <v>154</v>
      </c>
      <c r="E4" s="103" t="s">
        <v>153</v>
      </c>
      <c r="F4" s="103" t="s">
        <v>24</v>
      </c>
      <c r="G4" s="103" t="s">
        <v>158</v>
      </c>
      <c r="H4" s="102" t="s">
        <v>152</v>
      </c>
      <c r="I4" s="75"/>
      <c r="J4" s="75"/>
      <c r="K4" s="373" t="s">
        <v>149</v>
      </c>
      <c r="L4" s="635" t="s">
        <v>37</v>
      </c>
      <c r="M4" s="621" t="s">
        <v>35</v>
      </c>
      <c r="N4" s="621" t="s">
        <v>36</v>
      </c>
      <c r="O4" s="622" t="s">
        <v>151</v>
      </c>
      <c r="P4" s="622" t="s">
        <v>255</v>
      </c>
      <c r="Q4" s="622" t="s">
        <v>256</v>
      </c>
      <c r="R4" s="240"/>
      <c r="S4" s="75"/>
      <c r="T4" s="75"/>
      <c r="U4" s="75"/>
      <c r="V4" s="75"/>
      <c r="W4" s="75"/>
      <c r="X4" s="75"/>
      <c r="Y4" s="75"/>
      <c r="Z4" s="75"/>
      <c r="AA4" s="75"/>
    </row>
    <row r="5" spans="2:27" ht="20.100000000000001" customHeight="1" thickTop="1" thickBot="1" x14ac:dyDescent="0.35">
      <c r="B5" s="448" t="s">
        <v>264</v>
      </c>
      <c r="C5" s="449">
        <v>130000</v>
      </c>
      <c r="D5" s="450">
        <v>13365</v>
      </c>
      <c r="E5" s="451">
        <v>12</v>
      </c>
      <c r="F5" s="452" t="s">
        <v>22</v>
      </c>
      <c r="G5" s="453">
        <v>27</v>
      </c>
      <c r="H5" s="454">
        <v>7700</v>
      </c>
      <c r="I5" s="75"/>
      <c r="J5" s="75"/>
      <c r="K5" s="374">
        <f>AVERAGE(Table1[[#This Row],[ Expected Service
   Life]]:G7)</f>
        <v>27</v>
      </c>
      <c r="L5" s="636">
        <f>(Table1[[#This Row],[ Std. Plow Truck
 Procure Cost]]+Table1[[#This Row],[Head/Underbody
   Plow Cost]]-Table1[[#This Row],[ Salvage Value]])/(Table1[[#This Row],[ Expected Service
   Life]]+1)</f>
        <v>4845.1785714285716</v>
      </c>
      <c r="M5" s="625">
        <f>IF(OR(Table1[[#This Row],[ Clear Direction
 (L) left, (R) right
 or (B) bi-direction
]]="R",Table1[[#This Row],[ Clear Direction
 (L) left, (R) right
 or (B) bi-direction
]]="B"),Table1[[#This Row],[ Max Clearing
   Width]],"")</f>
        <v>12</v>
      </c>
      <c r="N5" s="625">
        <f>IF(OR(Table1[[#This Row],[ Clear Direction
 (L) left, (R) right
 or (B) bi-direction
]]="L",Table1[[#This Row],[ Clear Direction
 (L) left, (R) right
 or (B) bi-direction
]]="B"),Table1[[#This Row],[ Max Clearing
   Width]],0)</f>
        <v>0</v>
      </c>
      <c r="O5" s="626">
        <f>AVERAGE(Table1[[#This Row],[ Std. Plow Truck
 Procure Cost]]:C7)+AVERAGE(Table1[[#This Row],[Head/Underbody
   Plow Cost]]:D7)-AVERAGE(Table1[[ Salvage Value]]:H7)</f>
        <v>135755</v>
      </c>
      <c r="P5" s="633">
        <f>IF(Table1[[#This Row],[ Configuration Name]]="",0,1)</f>
        <v>1</v>
      </c>
      <c r="Q5" s="607">
        <f>P5+P6+P7</f>
        <v>3</v>
      </c>
      <c r="R5" s="240"/>
      <c r="S5" s="75"/>
      <c r="T5" s="75"/>
      <c r="U5" s="75"/>
      <c r="V5" s="75"/>
      <c r="W5" s="75"/>
      <c r="X5" s="75"/>
      <c r="Y5" s="75"/>
      <c r="Z5" s="75"/>
      <c r="AA5" s="75"/>
    </row>
    <row r="6" spans="2:27" ht="20.100000000000001" customHeight="1" thickBot="1" x14ac:dyDescent="0.35">
      <c r="B6" s="370" t="s">
        <v>245</v>
      </c>
      <c r="C6" s="136">
        <v>130000</v>
      </c>
      <c r="D6" s="136">
        <v>12000</v>
      </c>
      <c r="E6" s="137">
        <v>10</v>
      </c>
      <c r="F6" s="138" t="s">
        <v>30</v>
      </c>
      <c r="G6" s="139">
        <v>27</v>
      </c>
      <c r="H6" s="140">
        <v>7700</v>
      </c>
      <c r="I6" s="75"/>
      <c r="J6" s="75"/>
      <c r="K6" s="292"/>
      <c r="L6" s="637">
        <f>(Table1[[#This Row],[ Std. Plow Truck
 Procure Cost]]+Table1[[#This Row],[Head/Underbody
   Plow Cost]]-Table1[[#This Row],[ Salvage Value]])/(Table1[[#This Row],[ Expected Service
   Life]]+1)</f>
        <v>4796.4285714285716</v>
      </c>
      <c r="M6" s="625">
        <f>IF(OR(Table1[[#This Row],[ Clear Direction
 (L) left, (R) right
 or (B) bi-direction
]]="R",Table1[[#This Row],[ Clear Direction
 (L) left, (R) right
 or (B) bi-direction
]]="B"),Table1[[#This Row],[ Max Clearing
   Width]],"")</f>
        <v>10</v>
      </c>
      <c r="N6" s="625">
        <f>IF(OR(Table1[[#This Row],[ Clear Direction
 (L) left, (R) right
 or (B) bi-direction
]]="L",Table1[[#This Row],[ Clear Direction
 (L) left, (R) right
 or (B) bi-direction
]]="B"),Table1[[#This Row],[ Max Clearing
   Width]],"")</f>
        <v>10</v>
      </c>
      <c r="O6" s="638"/>
      <c r="P6" s="633">
        <f>IF(Table1[[#This Row],[ Configuration Name]]="",0,1)</f>
        <v>1</v>
      </c>
      <c r="Q6" s="240"/>
      <c r="R6" s="240"/>
      <c r="S6" s="75"/>
      <c r="T6" s="75"/>
      <c r="U6" s="75"/>
      <c r="V6" s="75"/>
      <c r="W6" s="75"/>
      <c r="X6" s="75"/>
      <c r="Y6" s="75"/>
      <c r="Z6" s="75"/>
      <c r="AA6" s="75"/>
    </row>
    <row r="7" spans="2:27" ht="20.100000000000001" customHeight="1" thickBot="1" x14ac:dyDescent="0.35">
      <c r="B7" s="485" t="s">
        <v>233</v>
      </c>
      <c r="C7" s="486">
        <v>135000</v>
      </c>
      <c r="D7" s="486">
        <v>10000</v>
      </c>
      <c r="E7" s="479">
        <v>12</v>
      </c>
      <c r="F7" s="480" t="s">
        <v>30</v>
      </c>
      <c r="G7" s="487">
        <v>27</v>
      </c>
      <c r="H7" s="488">
        <v>7700</v>
      </c>
      <c r="I7" s="75"/>
      <c r="J7" s="75"/>
      <c r="K7" s="292"/>
      <c r="L7" s="637">
        <f>(Table1[[#This Row],[ Std. Plow Truck
 Procure Cost]]+Table1[[#This Row],[Head/Underbody
   Plow Cost]]-Table1[[#This Row],[ Salvage Value]])/(Table1[[#This Row],[ Expected Service
   Life]]+1)</f>
        <v>4903.5714285714284</v>
      </c>
      <c r="M7" s="625">
        <f>IF(OR(Table1[[#This Row],[ Clear Direction
 (L) left, (R) right
 or (B) bi-direction
]]="R",Table1[[#This Row],[ Clear Direction
 (L) left, (R) right
 or (B) bi-direction
]]="B"),Table1[[#This Row],[ Max Clearing
   Width]],"")</f>
        <v>12</v>
      </c>
      <c r="N7" s="625">
        <f>IF(OR(Table1[[#This Row],[ Clear Direction
 (L) left, (R) right
 or (B) bi-direction
]]="L",Table1[[#This Row],[ Clear Direction
 (L) left, (R) right
 or (B) bi-direction
]]="B"),Table1[[#This Row],[ Max Clearing
   Width]],"")</f>
        <v>12</v>
      </c>
      <c r="O7" s="633"/>
      <c r="P7" s="633">
        <f>IF(Table1[[#This Row],[ Configuration Name]]="",0,1)</f>
        <v>1</v>
      </c>
      <c r="Q7" s="240"/>
      <c r="R7" s="240"/>
      <c r="S7" s="75"/>
      <c r="T7" s="75"/>
      <c r="U7" s="75"/>
      <c r="V7" s="75"/>
      <c r="W7" s="75"/>
      <c r="X7" s="75"/>
      <c r="Y7" s="75"/>
      <c r="Z7" s="75"/>
      <c r="AA7" s="75"/>
    </row>
    <row r="8" spans="2:27" s="20" customFormat="1" ht="21.75" customHeight="1" thickTop="1" thickBot="1" x14ac:dyDescent="0.35">
      <c r="B8" s="23"/>
      <c r="C8" s="23"/>
      <c r="D8" s="23"/>
      <c r="E8" s="23"/>
      <c r="F8" s="23"/>
      <c r="I8" s="44"/>
      <c r="J8" s="44"/>
      <c r="K8" s="292"/>
      <c r="L8" s="639"/>
      <c r="M8" s="640"/>
      <c r="N8" s="640"/>
      <c r="O8" s="240"/>
      <c r="P8" s="240"/>
      <c r="Q8" s="240"/>
      <c r="R8" s="240"/>
      <c r="S8" s="44"/>
      <c r="T8" s="44"/>
      <c r="U8" s="44"/>
      <c r="V8" s="44"/>
      <c r="W8" s="44"/>
      <c r="X8" s="44"/>
      <c r="Y8" s="44"/>
      <c r="Z8" s="44"/>
      <c r="AA8" s="44"/>
    </row>
    <row r="9" spans="2:27" ht="24.9" customHeight="1" thickBot="1" x14ac:dyDescent="0.35">
      <c r="B9" s="735" t="s">
        <v>1</v>
      </c>
      <c r="C9" s="735"/>
      <c r="D9" s="735"/>
      <c r="E9" s="735"/>
      <c r="F9" s="735"/>
      <c r="G9" s="735"/>
      <c r="H9" s="735"/>
      <c r="I9" s="75"/>
      <c r="J9" s="75"/>
      <c r="K9" s="292"/>
      <c r="L9" s="733" t="s">
        <v>60</v>
      </c>
      <c r="M9" s="732"/>
      <c r="N9" s="732"/>
      <c r="O9" s="633"/>
      <c r="P9" s="240"/>
      <c r="Q9" s="240"/>
      <c r="R9" s="182"/>
      <c r="S9" s="75"/>
      <c r="T9" s="75"/>
      <c r="U9" s="75"/>
      <c r="V9" s="75"/>
      <c r="W9" s="75"/>
      <c r="X9" s="75"/>
      <c r="Y9" s="75"/>
      <c r="Z9" s="75"/>
      <c r="AA9" s="75"/>
    </row>
    <row r="10" spans="2:27" s="1" customFormat="1" ht="58.8" thickTop="1" thickBot="1" x14ac:dyDescent="0.35">
      <c r="B10" s="104" t="s">
        <v>0</v>
      </c>
      <c r="C10" s="103" t="s">
        <v>157</v>
      </c>
      <c r="D10" s="103" t="s">
        <v>156</v>
      </c>
      <c r="E10" s="103" t="s">
        <v>153</v>
      </c>
      <c r="F10" s="103" t="s">
        <v>24</v>
      </c>
      <c r="G10" s="105" t="s">
        <v>158</v>
      </c>
      <c r="H10" s="102" t="s">
        <v>152</v>
      </c>
      <c r="I10" s="44"/>
      <c r="J10" s="44"/>
      <c r="K10" s="249"/>
      <c r="L10" s="620" t="s">
        <v>149</v>
      </c>
      <c r="M10" s="635" t="s">
        <v>37</v>
      </c>
      <c r="N10" s="621" t="s">
        <v>35</v>
      </c>
      <c r="O10" s="621" t="s">
        <v>36</v>
      </c>
      <c r="P10" s="622" t="s">
        <v>151</v>
      </c>
      <c r="Q10" s="622" t="s">
        <v>255</v>
      </c>
      <c r="R10" s="622" t="s">
        <v>256</v>
      </c>
      <c r="S10" s="75"/>
      <c r="T10" s="75"/>
      <c r="U10" s="75"/>
      <c r="V10" s="75"/>
      <c r="W10" s="75"/>
      <c r="X10" s="75"/>
      <c r="Y10" s="75"/>
      <c r="Z10" s="75"/>
      <c r="AA10" s="75"/>
    </row>
    <row r="11" spans="2:27" s="1" customFormat="1" ht="20.100000000000001" customHeight="1" thickTop="1" thickBot="1" x14ac:dyDescent="0.35">
      <c r="B11" s="132" t="s">
        <v>237</v>
      </c>
      <c r="C11" s="142">
        <v>150000</v>
      </c>
      <c r="D11" s="142">
        <v>22000</v>
      </c>
      <c r="E11" s="133">
        <v>24</v>
      </c>
      <c r="F11" s="134" t="s">
        <v>22</v>
      </c>
      <c r="G11" s="143">
        <v>20</v>
      </c>
      <c r="H11" s="144">
        <v>10000</v>
      </c>
      <c r="I11" s="44"/>
      <c r="J11" s="75"/>
      <c r="K11" s="249"/>
      <c r="L11" s="641">
        <f>IF(Table14[[#This Row],[ Expected Service
   Life]]="","",AVERAGE(Table14[[#This Row],[ Expected Service
   Life]]:G12))</f>
        <v>20</v>
      </c>
      <c r="M11" s="636">
        <f>IF(Table14[[#This Row],[ Telescoping
 Plow Truck
 Procure Cost]]="","",(Table14[[#This Row],[ Telescoping
 Plow Truck
 Procure Cost]]+Table14[[#This Row],[Head/Underbody
   Plow cost]]-Table14[[#This Row],[ Salvage Value]])/(Table14[[#This Row],[ Expected Service
   Life]]+1))</f>
        <v>7714.2857142857147</v>
      </c>
      <c r="N11" s="625">
        <f>IF(OR(Table14[[#This Row],[ Clear Direction
 (L) left, (R) right
 or (B) bi-direction
]]="R",Table14[[#This Row],[ Clear Direction
 (L) left, (R) right
 or (B) bi-direction
]]="B"),Table14[[#This Row],[ Max Clearing
   Width]],"")</f>
        <v>24</v>
      </c>
      <c r="O11" s="625">
        <f>IF(OR(Table14[[#This Row],[ Clear Direction
 (L) left, (R) right
 or (B) bi-direction
]]="L",Table14[[#This Row],[ Clear Direction
 (L) left, (R) right
 or (B) bi-direction
]]="B"),Table14[[#This Row],[ Max Clearing
   Width]],0)</f>
        <v>0</v>
      </c>
      <c r="P11" s="626">
        <f>IF(Table14[[#This Row],[ Telescoping
 Plow Truck
 Procure Cost]]="","",AVERAGE(Table14[[#This Row],[ Telescoping
 Plow Truck
 Procure Cost]]:C12)+AVERAGE(Table14[[#This Row],[Head/Underbody
   Plow cost]]:D12)-AVERAGE(Table14[[ Salvage Value]]:H12))</f>
        <v>162000</v>
      </c>
      <c r="Q11" s="633">
        <f>IF(Table14[[#This Row],[ Configuration Name]]="",0,1)</f>
        <v>1</v>
      </c>
      <c r="R11" s="638">
        <f>Q11+Q12</f>
        <v>1</v>
      </c>
      <c r="S11" s="75"/>
      <c r="T11" s="75"/>
      <c r="U11" s="75"/>
      <c r="V11" s="75"/>
      <c r="W11" s="75"/>
      <c r="X11" s="75"/>
      <c r="Y11" s="75"/>
      <c r="Z11" s="75"/>
      <c r="AA11" s="75"/>
    </row>
    <row r="12" spans="2:27" s="1" customFormat="1" ht="20.100000000000001" customHeight="1" thickBot="1" x14ac:dyDescent="0.35">
      <c r="B12" s="484"/>
      <c r="C12" s="478"/>
      <c r="D12" s="478"/>
      <c r="E12" s="479"/>
      <c r="F12" s="480"/>
      <c r="G12" s="482"/>
      <c r="H12" s="483"/>
      <c r="I12" s="44"/>
      <c r="J12" s="75"/>
      <c r="K12" s="249"/>
      <c r="L12" s="293"/>
      <c r="M12" s="636" t="str">
        <f>IF(Table14[[#This Row],[ Telescoping
 Plow Truck
 Procure Cost]]="","",(Table14[[#This Row],[ Telescoping
 Plow Truck
 Procure Cost]]+Table14[[#This Row],[Head/Underbody
   Plow cost]]-Table14[[#This Row],[ Salvage Value]])/(Table14[[#This Row],[ Expected Service
   Life]]+1))</f>
        <v/>
      </c>
      <c r="N12" s="625" t="str">
        <f>IF(OR(Table14[[#This Row],[ Clear Direction
 (L) left, (R) right
 or (B) bi-direction
]]="R",Table14[[#This Row],[ Clear Direction
 (L) left, (R) right
 or (B) bi-direction
]]="B"),Table14[[#This Row],[ Max Clearing
   Width]],"")</f>
        <v/>
      </c>
      <c r="O12" s="625">
        <f>IF(OR(Table14[[#This Row],[ Clear Direction
 (L) left, (R) right
 or (B) bi-direction
]]="L",Table14[[#This Row],[ Clear Direction
 (L) left, (R) right
 or (B) bi-direction
]]="B"),Table14[[#This Row],[ Max Clearing
   Width]],0)</f>
        <v>0</v>
      </c>
      <c r="P12" s="293"/>
      <c r="Q12" s="633">
        <f>IF(Table14[[#This Row],[ Configuration Name]]="",0,1)</f>
        <v>0</v>
      </c>
      <c r="R12" s="240"/>
      <c r="S12" s="75"/>
      <c r="T12" s="75"/>
      <c r="U12" s="75"/>
      <c r="V12" s="75"/>
      <c r="W12" s="75"/>
      <c r="X12" s="75"/>
      <c r="Y12" s="75"/>
      <c r="Z12" s="75"/>
      <c r="AA12" s="75"/>
    </row>
    <row r="13" spans="2:27" s="20" customFormat="1" ht="15.6" thickTop="1" thickBot="1" x14ac:dyDescent="0.35">
      <c r="B13" s="23"/>
      <c r="H13" s="23"/>
      <c r="I13" s="79"/>
      <c r="J13" s="44"/>
      <c r="K13" s="44"/>
      <c r="L13" s="247"/>
      <c r="M13" s="248"/>
      <c r="N13" s="248"/>
      <c r="O13" s="633"/>
      <c r="P13" s="240"/>
      <c r="Q13" s="240"/>
      <c r="R13" s="240"/>
      <c r="S13" s="44"/>
      <c r="T13" s="44"/>
      <c r="U13" s="44"/>
      <c r="V13" s="44"/>
      <c r="W13" s="44"/>
      <c r="X13" s="44"/>
      <c r="Y13" s="44"/>
      <c r="Z13" s="44"/>
      <c r="AA13" s="44"/>
    </row>
    <row r="14" spans="2:27" ht="24.9" customHeight="1" thickBot="1" x14ac:dyDescent="0.35">
      <c r="B14" s="736" t="s">
        <v>2</v>
      </c>
      <c r="C14" s="736"/>
      <c r="D14" s="736"/>
      <c r="E14" s="736"/>
      <c r="F14" s="736"/>
      <c r="G14" s="736"/>
      <c r="H14" s="736"/>
      <c r="I14" s="736"/>
      <c r="J14" s="736"/>
      <c r="K14" s="737"/>
      <c r="L14" s="732" t="s">
        <v>62</v>
      </c>
      <c r="M14" s="732"/>
      <c r="N14" s="732"/>
      <c r="O14" s="633"/>
      <c r="P14" s="240"/>
      <c r="Q14" s="240"/>
      <c r="R14" s="182"/>
      <c r="S14" s="75"/>
      <c r="T14" s="75"/>
      <c r="U14" s="75"/>
      <c r="V14" s="75"/>
      <c r="W14" s="75"/>
      <c r="X14" s="75"/>
      <c r="Y14" s="75"/>
      <c r="Z14" s="75"/>
      <c r="AA14" s="75"/>
    </row>
    <row r="15" spans="2:27" ht="61.5" customHeight="1" thickTop="1" thickBot="1" x14ac:dyDescent="0.35">
      <c r="B15" s="104" t="s">
        <v>0</v>
      </c>
      <c r="C15" s="105" t="s">
        <v>162</v>
      </c>
      <c r="D15" s="105" t="s">
        <v>156</v>
      </c>
      <c r="E15" s="105" t="s">
        <v>161</v>
      </c>
      <c r="F15" s="107" t="s">
        <v>24</v>
      </c>
      <c r="G15" s="105" t="s">
        <v>160</v>
      </c>
      <c r="H15" s="105" t="s">
        <v>159</v>
      </c>
      <c r="I15" s="105" t="s">
        <v>115</v>
      </c>
      <c r="J15" s="103" t="s">
        <v>158</v>
      </c>
      <c r="K15" s="250" t="s">
        <v>152</v>
      </c>
      <c r="L15" s="620" t="s">
        <v>149</v>
      </c>
      <c r="M15" s="621" t="s">
        <v>37</v>
      </c>
      <c r="N15" s="621" t="s">
        <v>35</v>
      </c>
      <c r="O15" s="621" t="s">
        <v>36</v>
      </c>
      <c r="P15" s="622" t="s">
        <v>151</v>
      </c>
      <c r="Q15" s="622" t="s">
        <v>255</v>
      </c>
      <c r="R15" s="622" t="s">
        <v>256</v>
      </c>
      <c r="S15" s="75"/>
      <c r="T15" s="75"/>
      <c r="U15" s="75"/>
      <c r="V15" s="75"/>
      <c r="W15" s="75"/>
      <c r="X15" s="75"/>
      <c r="Y15" s="75"/>
      <c r="Z15" s="75"/>
      <c r="AA15" s="75"/>
    </row>
    <row r="16" spans="2:27" ht="20.100000000000001" customHeight="1" thickTop="1" thickBot="1" x14ac:dyDescent="0.35">
      <c r="B16" s="369" t="s">
        <v>246</v>
      </c>
      <c r="C16" s="146">
        <v>145000</v>
      </c>
      <c r="D16" s="146">
        <v>13365</v>
      </c>
      <c r="E16" s="147">
        <v>10</v>
      </c>
      <c r="F16" s="148" t="s">
        <v>30</v>
      </c>
      <c r="G16" s="146">
        <v>4000</v>
      </c>
      <c r="H16" s="147">
        <v>6</v>
      </c>
      <c r="I16" s="148" t="s">
        <v>26</v>
      </c>
      <c r="J16" s="143">
        <v>27</v>
      </c>
      <c r="K16" s="144">
        <v>7700</v>
      </c>
      <c r="L16" s="630">
        <f>AVERAGE(J16:J20)</f>
        <v>27</v>
      </c>
      <c r="M16" s="631">
        <f>(Table13[[#This Row],[ Wing Plow Truck
  Procure Cost]]+Table13[[#This Row],[Head/Underbody
   Plow cost]]+Table13[[#This Row],[ Wing Plow
    Cost]]-Table13[[#This Row],[ Salvage Value]])/(Table13[[#This Row],[ Expected Service
   Life]]+1)</f>
        <v>5523.75</v>
      </c>
      <c r="N16" s="625">
        <f>IF(Table13[[#This Row],[ Clear Direction
 (L) left, (R) right]]="R",Table13[[#This Row],[ Wing Max
 Clearing
 Width]],0)+IF(OR(Table13[[#This Row],[ Clear Direction
 (L) left, (R) right
 or (B) bi-direction
]]="R",Table13[[#This Row],[ Clear Direction
 (L) left, (R) right
 or (B) bi-direction
]]="B"),Table13[[#This Row],[  Plow Max
  Clearing
  Width]],0)</f>
        <v>10</v>
      </c>
      <c r="O16" s="625">
        <f>IF(Table13[[#This Row],[ Clear Direction
 (L) left, (R) right]]="L",Table13[[#This Row],[ Wing Max
 Clearing
 Width]],0)+IF(OR(Table13[[#This Row],[ Clear Direction
 (L) left, (R) right
 or (B) bi-direction
]]="L",Table13[[#This Row],[ Clear Direction
 (L) left, (R) right
 or (B) bi-direction
]]="B"),Table13[[#This Row],[  Plow Max
  Clearing
  Width]],0)</f>
        <v>16</v>
      </c>
      <c r="P16" s="632">
        <f>AVERAGE(Table13[[#This Row],[ Wing Plow Truck
  Procure Cost]]:C20)+AVERAGE(Table13[[#This Row],[Head/Underbody
   Plow cost]]:D20)+AVERAGE(Table13[[#This Row],[ Wing Plow
    Cost]]:G20)-AVERAGE(Table13[[ Salvage Value]])</f>
        <v>153710.00000000003</v>
      </c>
      <c r="Q16" s="633">
        <f>IF(Table13[[#This Row],[ Configuration Name]]="",0,1)</f>
        <v>1</v>
      </c>
      <c r="R16" s="654">
        <f>SUM(Q16:Q20)</f>
        <v>3</v>
      </c>
      <c r="S16" s="75"/>
      <c r="T16" s="75"/>
      <c r="U16" s="75"/>
      <c r="V16" s="75"/>
      <c r="W16" s="75"/>
      <c r="X16" s="75"/>
      <c r="Y16" s="75"/>
      <c r="Z16" s="75"/>
      <c r="AA16" s="75"/>
    </row>
    <row r="17" spans="1:27" ht="20.100000000000001" customHeight="1" thickBot="1" x14ac:dyDescent="0.35">
      <c r="B17" s="370" t="s">
        <v>247</v>
      </c>
      <c r="C17" s="149">
        <v>145000</v>
      </c>
      <c r="D17" s="149">
        <v>15000</v>
      </c>
      <c r="E17" s="150">
        <v>12</v>
      </c>
      <c r="F17" s="151" t="s">
        <v>22</v>
      </c>
      <c r="G17" s="149">
        <v>4000</v>
      </c>
      <c r="H17" s="150">
        <v>6</v>
      </c>
      <c r="I17" s="151" t="s">
        <v>22</v>
      </c>
      <c r="J17" s="145">
        <v>27</v>
      </c>
      <c r="K17" s="141">
        <v>7700</v>
      </c>
      <c r="L17" s="642"/>
      <c r="M17" s="631">
        <f>(Table13[[#This Row],[ Wing Plow Truck
  Procure Cost]]+Table13[[#This Row],[Head/Underbody
   Plow cost]]+Table13[[#This Row],[ Wing Plow
    Cost]]-Table13[[#This Row],[ Salvage Value]])/(Table13[[#This Row],[ Expected Service
   Life]]+1)</f>
        <v>5582.1428571428569</v>
      </c>
      <c r="N17" s="625">
        <f>IF(Table13[[#This Row],[ Clear Direction
 (L) left, (R) right]]="R",Table13[[#This Row],[ Wing Max
 Clearing
 Width]],0)+IF(OR(Table13[[#This Row],[ Clear Direction
 (L) left, (R) right
 or (B) bi-direction
]]="R",Table13[[#This Row],[ Clear Direction
 (L) left, (R) right
 or (B) bi-direction
]]="B"),Table13[[#This Row],[  Plow Max
  Clearing
  Width]],0)</f>
        <v>18</v>
      </c>
      <c r="O17" s="625">
        <f>IF(Table13[[#This Row],[ Clear Direction
 (L) left, (R) right]]="L",Table13[[#This Row],[ Wing Max
 Clearing
 Width]],0)+IF(OR(Table13[[#This Row],[ Clear Direction
 (L) left, (R) right
 or (B) bi-direction
]]="L",Table13[[#This Row],[ Clear Direction
 (L) left, (R) right
 or (B) bi-direction
]]="B"),Table13[[#This Row],[  Plow Max
  Clearing
  Width]],0)</f>
        <v>0</v>
      </c>
      <c r="P17" s="633"/>
      <c r="Q17" s="633">
        <f>IF(Table13[[#This Row],[ Configuration Name]]="",0,1)</f>
        <v>1</v>
      </c>
      <c r="R17" s="182"/>
      <c r="S17" s="75"/>
      <c r="T17" s="75"/>
      <c r="U17" s="75"/>
      <c r="V17" s="75"/>
      <c r="W17" s="75"/>
      <c r="X17" s="75"/>
      <c r="Y17" s="75"/>
      <c r="Z17" s="75"/>
      <c r="AA17" s="75"/>
    </row>
    <row r="18" spans="1:27" s="1" customFormat="1" ht="20.100000000000001" customHeight="1" thickTop="1" thickBot="1" x14ac:dyDescent="0.35">
      <c r="B18" s="371" t="s">
        <v>238</v>
      </c>
      <c r="C18" s="152">
        <v>140000</v>
      </c>
      <c r="D18" s="152">
        <v>13365</v>
      </c>
      <c r="E18" s="153">
        <v>10</v>
      </c>
      <c r="F18" s="151" t="s">
        <v>30</v>
      </c>
      <c r="G18" s="154">
        <v>3800</v>
      </c>
      <c r="H18" s="153">
        <v>6</v>
      </c>
      <c r="I18" s="151" t="s">
        <v>22</v>
      </c>
      <c r="J18" s="251">
        <v>27</v>
      </c>
      <c r="K18" s="141">
        <v>7000</v>
      </c>
      <c r="L18" s="642"/>
      <c r="M18" s="631">
        <f>(Table13[[#This Row],[ Wing Plow Truck
  Procure Cost]]+Table13[[#This Row],[Head/Underbody
   Plow cost]]+Table13[[#This Row],[ Wing Plow
    Cost]]-Table13[[#This Row],[ Salvage Value]])/(Table13[[#This Row],[ Expected Service
   Life]]+1)</f>
        <v>5363.0357142857147</v>
      </c>
      <c r="N18" s="625">
        <f>IF(Table13[[#This Row],[ Clear Direction
 (L) left, (R) right]]="R",Table13[[#This Row],[ Wing Max
 Clearing
 Width]],0)+IF(OR(Table13[[#This Row],[ Clear Direction
 (L) left, (R) right
 or (B) bi-direction
]]="R",Table13[[#This Row],[ Clear Direction
 (L) left, (R) right
 or (B) bi-direction
]]="B"),Table13[[#This Row],[  Plow Max
  Clearing
  Width]],0)</f>
        <v>16</v>
      </c>
      <c r="O18" s="625">
        <f>IF(Table13[[#This Row],[ Clear Direction
 (L) left, (R) right]]="L",Table13[[#This Row],[ Wing Max
 Clearing
 Width]],0)+IF(OR(Table13[[#This Row],[ Clear Direction
 (L) left, (R) right
 or (B) bi-direction
]]="L",Table13[[#This Row],[ Clear Direction
 (L) left, (R) right
 or (B) bi-direction
]]="B"),Table13[[#This Row],[  Plow Max
  Clearing
  Width]],0)</f>
        <v>10</v>
      </c>
      <c r="P18" s="633"/>
      <c r="Q18" s="633">
        <f>IF(Table13[[#This Row],[ Configuration Name]]="",0,1)</f>
        <v>1</v>
      </c>
      <c r="R18" s="182"/>
      <c r="S18" s="75"/>
      <c r="T18" s="75"/>
      <c r="U18" s="75"/>
      <c r="V18" s="75"/>
      <c r="W18" s="75"/>
      <c r="X18" s="75"/>
      <c r="Y18" s="75"/>
      <c r="Z18" s="75"/>
      <c r="AA18" s="75"/>
    </row>
    <row r="19" spans="1:27" s="1" customFormat="1" ht="20.100000000000001" customHeight="1" thickBot="1" x14ac:dyDescent="0.35">
      <c r="B19" s="289"/>
      <c r="C19" s="154"/>
      <c r="D19" s="155"/>
      <c r="E19" s="156"/>
      <c r="F19" s="157"/>
      <c r="G19" s="154"/>
      <c r="H19" s="158"/>
      <c r="I19" s="157"/>
      <c r="J19" s="252"/>
      <c r="K19" s="141"/>
      <c r="L19" s="642"/>
      <c r="M19" s="631">
        <f>(Table13[[#This Row],[ Wing Plow Truck
  Procure Cost]]+Table13[[#This Row],[Head/Underbody
   Plow cost]]+Table13[[#This Row],[ Wing Plow
    Cost]]-Table13[[#This Row],[ Salvage Value]])/(Table13[[#This Row],[ Expected Service
   Life]]+1)</f>
        <v>0</v>
      </c>
      <c r="N19" s="625">
        <f>IF(Table13[[#This Row],[ Clear Direction
 (L) left, (R) right]]="R",Table13[[#This Row],[ Wing Max
 Clearing
 Width]],0)+IF(OR(Table13[[#This Row],[ Clear Direction
 (L) left, (R) right
 or (B) bi-direction
]]="R",Table13[[#This Row],[ Clear Direction
 (L) left, (R) right
 or (B) bi-direction
]]="B"),Table13[[#This Row],[  Plow Max
  Clearing
  Width]],0)</f>
        <v>0</v>
      </c>
      <c r="O19" s="625">
        <f>IF(Table13[[#This Row],[ Clear Direction
 (L) left, (R) right]]="L",Table13[[#This Row],[ Wing Max
 Clearing
 Width]],0)+IF(OR(Table13[[#This Row],[ Clear Direction
 (L) left, (R) right
 or (B) bi-direction
]]="L",Table13[[#This Row],[ Clear Direction
 (L) left, (R) right
 or (B) bi-direction
]]="B"),Table13[[#This Row],[  Plow Max
  Clearing
  Width]],0)</f>
        <v>0</v>
      </c>
      <c r="P19" s="633"/>
      <c r="Q19" s="633">
        <f>IF(Table13[[#This Row],[ Configuration Name]]="",0,1)</f>
        <v>0</v>
      </c>
      <c r="R19" s="182"/>
      <c r="S19" s="75"/>
      <c r="T19" s="75"/>
      <c r="U19" s="75"/>
      <c r="V19" s="75"/>
      <c r="W19" s="75"/>
      <c r="X19" s="75"/>
      <c r="Y19" s="75"/>
      <c r="Z19" s="75"/>
      <c r="AA19" s="75"/>
    </row>
    <row r="20" spans="1:27" ht="20.100000000000001" customHeight="1" thickBot="1" x14ac:dyDescent="0.35">
      <c r="B20" s="476"/>
      <c r="C20" s="477"/>
      <c r="D20" s="478"/>
      <c r="E20" s="479"/>
      <c r="F20" s="480"/>
      <c r="G20" s="478"/>
      <c r="H20" s="479"/>
      <c r="I20" s="481"/>
      <c r="J20" s="482"/>
      <c r="K20" s="483"/>
      <c r="L20" s="642"/>
      <c r="M20" s="631">
        <f>(Table13[[#This Row],[ Wing Plow Truck
  Procure Cost]]+Table13[[#This Row],[Head/Underbody
   Plow cost]]+Table13[[#This Row],[ Wing Plow
    Cost]]-Table13[[#This Row],[ Salvage Value]])/(Table13[[#This Row],[ Expected Service
   Life]]+1)</f>
        <v>0</v>
      </c>
      <c r="N20" s="625">
        <f>IF(Table13[[#This Row],[ Clear Direction
 (L) left, (R) right]]="R",Table13[[#This Row],[ Wing Max
 Clearing
 Width]],0)+IF(OR(Table13[[#This Row],[ Clear Direction
 (L) left, (R) right
 or (B) bi-direction
]]="R",Table13[[#This Row],[ Clear Direction
 (L) left, (R) right
 or (B) bi-direction
]]="B"),Table13[[#This Row],[  Plow Max
  Clearing
  Width]],0)</f>
        <v>0</v>
      </c>
      <c r="O20" s="625">
        <f>IF(Table13[[#This Row],[ Clear Direction
 (L) left, (R) right]]="L",Table13[[#This Row],[ Wing Max
 Clearing
 Width]],0)+IF(OR(Table13[[#This Row],[ Clear Direction
 (L) left, (R) right
 or (B) bi-direction
]]="L",Table13[[#This Row],[ Clear Direction
 (L) left, (R) right
 or (B) bi-direction
]]="B"),Table13[[#This Row],[  Plow Max
  Clearing
  Width]],0)</f>
        <v>0</v>
      </c>
      <c r="P20" s="633"/>
      <c r="Q20" s="633">
        <f>IF(Table13[[#This Row],[ Configuration Name]]="",0,1)</f>
        <v>0</v>
      </c>
      <c r="R20" s="182"/>
      <c r="S20" s="75"/>
      <c r="T20" s="75"/>
      <c r="U20" s="75"/>
      <c r="V20" s="75"/>
      <c r="W20" s="75"/>
      <c r="X20" s="75"/>
      <c r="Y20" s="75"/>
      <c r="Z20" s="75"/>
      <c r="AA20" s="75"/>
    </row>
    <row r="21" spans="1:27" s="20" customFormat="1" ht="20.100000000000001" customHeight="1" thickTop="1" thickBot="1" x14ac:dyDescent="0.35">
      <c r="B21" s="23"/>
      <c r="C21" s="23"/>
      <c r="D21" s="23"/>
      <c r="E21" s="23"/>
      <c r="F21" s="23"/>
      <c r="G21" s="23"/>
      <c r="H21" s="23"/>
      <c r="I21" s="23"/>
      <c r="K21" s="44"/>
      <c r="L21" s="640"/>
      <c r="M21" s="655"/>
      <c r="N21" s="655"/>
      <c r="O21" s="633"/>
      <c r="P21" s="629"/>
      <c r="Q21" s="240"/>
      <c r="R21" s="240"/>
      <c r="S21" s="44"/>
      <c r="T21" s="44"/>
      <c r="U21" s="44"/>
      <c r="V21" s="44"/>
      <c r="W21" s="44"/>
      <c r="X21" s="44"/>
      <c r="Y21" s="44"/>
      <c r="Z21" s="44"/>
      <c r="AA21" s="44"/>
    </row>
    <row r="22" spans="1:27" ht="24.9" customHeight="1" thickBot="1" x14ac:dyDescent="0.35">
      <c r="B22" s="738" t="s">
        <v>3</v>
      </c>
      <c r="C22" s="738"/>
      <c r="D22" s="738"/>
      <c r="E22" s="738"/>
      <c r="F22" s="738"/>
      <c r="G22" s="738"/>
      <c r="H22" s="738"/>
      <c r="I22" s="738"/>
      <c r="J22" s="738"/>
      <c r="K22" s="739"/>
      <c r="L22" s="732" t="s">
        <v>63</v>
      </c>
      <c r="M22" s="732"/>
      <c r="N22" s="732"/>
      <c r="O22" s="628"/>
      <c r="P22" s="629"/>
      <c r="Q22" s="240"/>
      <c r="R22" s="182"/>
      <c r="S22" s="75"/>
      <c r="T22" s="75"/>
      <c r="U22" s="75"/>
      <c r="V22" s="75"/>
      <c r="W22" s="75"/>
      <c r="X22" s="75"/>
      <c r="Y22" s="75"/>
      <c r="Z22" s="75"/>
      <c r="AA22" s="75"/>
    </row>
    <row r="23" spans="1:27" ht="61.5" customHeight="1" thickTop="1" thickBot="1" x14ac:dyDescent="0.35">
      <c r="B23" s="104" t="s">
        <v>0</v>
      </c>
      <c r="C23" s="103" t="s">
        <v>166</v>
      </c>
      <c r="D23" s="103" t="s">
        <v>154</v>
      </c>
      <c r="E23" s="103" t="s">
        <v>165</v>
      </c>
      <c r="F23" s="108" t="s">
        <v>24</v>
      </c>
      <c r="G23" s="103" t="s">
        <v>163</v>
      </c>
      <c r="H23" s="103" t="s">
        <v>164</v>
      </c>
      <c r="I23" s="108" t="s">
        <v>25</v>
      </c>
      <c r="J23" s="102" t="s">
        <v>158</v>
      </c>
      <c r="K23" s="102" t="s">
        <v>152</v>
      </c>
      <c r="L23" s="620" t="s">
        <v>149</v>
      </c>
      <c r="M23" s="621" t="s">
        <v>37</v>
      </c>
      <c r="N23" s="621" t="s">
        <v>35</v>
      </c>
      <c r="O23" s="621" t="s">
        <v>36</v>
      </c>
      <c r="P23" s="622" t="s">
        <v>211</v>
      </c>
      <c r="Q23" s="622" t="s">
        <v>255</v>
      </c>
      <c r="R23" s="622" t="s">
        <v>256</v>
      </c>
      <c r="S23" s="75"/>
      <c r="T23" s="75"/>
      <c r="U23" s="75"/>
      <c r="V23" s="75"/>
      <c r="W23" s="75"/>
      <c r="X23" s="75"/>
      <c r="Y23" s="75"/>
      <c r="Z23" s="75"/>
      <c r="AA23" s="75"/>
    </row>
    <row r="24" spans="1:27" ht="20.100000000000001" customHeight="1" thickTop="1" thickBot="1" x14ac:dyDescent="0.35">
      <c r="B24" s="368" t="s">
        <v>244</v>
      </c>
      <c r="C24" s="159">
        <v>160000</v>
      </c>
      <c r="D24" s="160">
        <v>13365</v>
      </c>
      <c r="E24" s="161">
        <v>12</v>
      </c>
      <c r="F24" s="162" t="s">
        <v>30</v>
      </c>
      <c r="G24" s="160">
        <v>152000</v>
      </c>
      <c r="H24" s="161">
        <v>12</v>
      </c>
      <c r="I24" s="162" t="s">
        <v>22</v>
      </c>
      <c r="J24" s="253">
        <v>27</v>
      </c>
      <c r="K24" s="254">
        <v>7700</v>
      </c>
      <c r="L24" s="630">
        <f>AVERAGE(Table135[[#This Row],[ Expected Service
   Life]]:J25)</f>
        <v>27</v>
      </c>
      <c r="M24" s="631">
        <f>(Table135[[#This Row],[ Tow Plow Truck
  Procure Cost]]+Table135[[#This Row],[Head/Underbody
   Plow Cost]]+Table135[[#This Row],[ Tow Plow
    Cost]]-Table135[[#This Row],[ Salvage Value]])/(Table135[[#This Row],[ Expected Service
   Life]]+1)</f>
        <v>11345.178571428571</v>
      </c>
      <c r="N24" s="625">
        <f>IF(OR(Table135[[#This Row],[ Clear Direction
 (L) left, (R) right
 or (B) bi-direction
]]="R",Table135[[#This Row],[ Clear Direction
 (L) left, (R) right
 or (B) bi-direction
]]="B"),Table135[[#This Row],[ Plow Max
Clearing  Width]],0)+IF(OR(Table135[[#This Row],[ TP Clear Direction
 (L) left, (R) right
 or (B) bi-direction]]="R",Table135[[#This Row],[ TP Clear Direction
 (L) left, (R) right
 or (B) bi-direction]]="B"),Table135[[#This Row],[ Tow plow
 Clearing
 Width]],0)</f>
        <v>24</v>
      </c>
      <c r="O24" s="625">
        <f>IF(OR(Table135[[#This Row],[ Clear Direction
 (L) left, (R) right
 or (B) bi-direction
]]="L",Table135[[#This Row],[ Clear Direction
 (L) left, (R) right
 or (B) bi-direction
]]="B"),Table135[[#This Row],[ Plow Max
Clearing  Width]],0)+IF(OR(Table135[[#This Row],[ TP Clear Direction
 (L) left, (R) right
 or (B) bi-direction]]="L",Table135[[#This Row],[ TP Clear Direction
 (L) left, (R) right
 or (B) bi-direction]]="B"),Table135[[#This Row],[ Tow plow
 Clearing
 Width]],0)</f>
        <v>12</v>
      </c>
      <c r="P24" s="632">
        <f>AVERAGE(Table135[[#This Row],[ Tow Plow Truck
  Procure Cost]]:C25)+AVERAGE(Table135[[#This Row],[Head/Underbody
   Plow Cost]]:D25)+AVERAGE(Table135[[#This Row],[ Tow Plow
    Cost]]:G25)-AVERAGE(Table135[[#This Row],[ Salvage Value]],K25)</f>
        <v>317665</v>
      </c>
      <c r="Q24" s="633">
        <f>IF(Table135[[#This Row],[ Configuration Name]]="",0,1)</f>
        <v>1</v>
      </c>
      <c r="R24" s="654">
        <f>Q24+Q25</f>
        <v>1</v>
      </c>
      <c r="S24" s="75"/>
      <c r="T24" s="75"/>
      <c r="U24" s="75"/>
      <c r="V24" s="75"/>
      <c r="W24" s="75"/>
      <c r="X24" s="75"/>
      <c r="Y24" s="75"/>
      <c r="Z24" s="75"/>
      <c r="AA24" s="75"/>
    </row>
    <row r="25" spans="1:27" ht="20.100000000000001" customHeight="1" thickBot="1" x14ac:dyDescent="0.35">
      <c r="B25" s="582"/>
      <c r="C25" s="583"/>
      <c r="D25" s="164"/>
      <c r="E25" s="584"/>
      <c r="F25" s="585"/>
      <c r="G25" s="164"/>
      <c r="H25" s="584"/>
      <c r="I25" s="585"/>
      <c r="J25" s="586"/>
      <c r="K25" s="163"/>
      <c r="L25" s="240"/>
      <c r="M25" s="631">
        <f>(Table135[[#This Row],[ Tow Plow Truck
  Procure Cost]]+Table135[[#This Row],[Head/Underbody
   Plow Cost]]+Table135[[#This Row],[ Tow Plow
    Cost]]-Table135[[#This Row],[ Salvage Value]])/(Table135[[#This Row],[ Expected Service
   Life]]+1)</f>
        <v>0</v>
      </c>
      <c r="N25" s="625">
        <f>IF(OR(Table135[[#This Row],[ Clear Direction
 (L) left, (R) right
 or (B) bi-direction
]]="R",Table135[[#This Row],[ Clear Direction
 (L) left, (R) right
 or (B) bi-direction
]]="B"),Table135[[#This Row],[ Plow Max
Clearing  Width]],0)+IF(OR(Table135[[#This Row],[ TP Clear Direction
 (L) left, (R) right
 or (B) bi-direction]]="R",Table135[[#This Row],[ TP Clear Direction
 (L) left, (R) right
 or (B) bi-direction]]="B"),Table135[[#This Row],[ Tow plow
 Clearing
 Width]],0)</f>
        <v>0</v>
      </c>
      <c r="O25" s="625">
        <f>IF(OR(Table135[[#This Row],[ Clear Direction
 (L) left, (R) right
 or (B) bi-direction
]]="L",Table135[[#This Row],[ Clear Direction
 (L) left, (R) right
 or (B) bi-direction
]]="B"),Table135[[#This Row],[ Plow Max
Clearing  Width]],0)+IF(OR(Table135[[#This Row],[ TP Clear Direction
 (L) left, (R) right
 or (B) bi-direction]]="L",Table135[[#This Row],[ TP Clear Direction
 (L) left, (R) right
 or (B) bi-direction]]="B"),Table135[[#This Row],[ Tow plow
 Clearing
 Width]],0)</f>
        <v>0</v>
      </c>
      <c r="P25" s="633"/>
      <c r="Q25" s="633">
        <f>IF(Table135[[#This Row],[ Configuration Name]]="",0,1)</f>
        <v>0</v>
      </c>
      <c r="R25" s="182"/>
      <c r="S25" s="75"/>
      <c r="T25" s="75"/>
      <c r="U25" s="75"/>
      <c r="V25" s="75"/>
      <c r="W25" s="75"/>
      <c r="X25" s="75"/>
      <c r="Y25" s="75"/>
      <c r="Z25" s="75"/>
      <c r="AA25" s="75"/>
    </row>
    <row r="26" spans="1:27" ht="20.100000000000001" customHeight="1" thickBot="1" x14ac:dyDescent="0.35">
      <c r="B26" s="575" t="s">
        <v>234</v>
      </c>
      <c r="C26" s="576">
        <v>160000</v>
      </c>
      <c r="D26" s="577">
        <v>13365</v>
      </c>
      <c r="E26" s="578">
        <v>12</v>
      </c>
      <c r="F26" s="579" t="s">
        <v>30</v>
      </c>
      <c r="G26" s="580">
        <v>195000</v>
      </c>
      <c r="H26" s="578">
        <v>12</v>
      </c>
      <c r="I26" s="579" t="s">
        <v>30</v>
      </c>
      <c r="J26" s="581">
        <v>27</v>
      </c>
      <c r="K26" s="576">
        <v>7700</v>
      </c>
      <c r="L26" s="634">
        <f>Table135[[#This Row],[ Expected Service
   Life]]</f>
        <v>27</v>
      </c>
      <c r="M26" s="631">
        <f>(Table135[[#This Row],[ Tow Plow Truck
  Procure Cost]]+Table135[[#This Row],[Head/Underbody
   Plow Cost]]+Table135[[#This Row],[ Tow Plow
    Cost]]-Table135[[#This Row],[ Salvage Value]])/(Table135[[#This Row],[ Expected Service
   Life]]+1)</f>
        <v>12880.892857142857</v>
      </c>
      <c r="N26" s="625">
        <f>IF(OR(Table135[[#This Row],[ Clear Direction
 (L) left, (R) right
 or (B) bi-direction
]]="R",Table135[[#This Row],[ Clear Direction
 (L) left, (R) right
 or (B) bi-direction
]]="B"),Table135[[#This Row],[ Plow Max
Clearing  Width]],0)+IF(OR(Table135[[#This Row],[ TP Clear Direction
 (L) left, (R) right
 or (B) bi-direction]]="R",Table135[[#This Row],[ TP Clear Direction
 (L) left, (R) right
 or (B) bi-direction]]="B"),Table135[[#This Row],[ Tow plow
 Clearing
 Width]],0)</f>
        <v>24</v>
      </c>
      <c r="O26" s="625">
        <f>IF(OR(Table135[[#This Row],[ Clear Direction
 (L) left, (R) right
 or (B) bi-direction
]]="L",Table135[[#This Row],[ Clear Direction
 (L) left, (R) right
 or (B) bi-direction
]]="B"),Table135[[#This Row],[ Plow Max
Clearing  Width]],0)+IF(OR(Table135[[#This Row],[ TP Clear Direction
 (L) left, (R) right
 or (B) bi-direction]]="L",Table135[[#This Row],[ TP Clear Direction
 (L) left, (R) right
 or (B) bi-direction]]="B"),Table135[[#This Row],[ Tow plow
 Clearing
 Width]],0)</f>
        <v>24</v>
      </c>
      <c r="P26" s="632">
        <f>Table135[[#This Row],[ Tow Plow Truck
  Procure Cost]]+Table135[[#This Row],[Head/Underbody
   Plow Cost]]+Table135[[#This Row],[ Tow Plow
    Cost]]-Table135[[#This Row],[ Salvage Value]]</f>
        <v>360665</v>
      </c>
      <c r="Q26" s="638"/>
      <c r="R26" s="638">
        <f>IF(Table135[[#This Row],[ Configuration Name]]="",0,1)</f>
        <v>1</v>
      </c>
      <c r="S26" s="75"/>
      <c r="T26" s="75"/>
      <c r="U26" s="75"/>
      <c r="V26" s="75"/>
      <c r="W26" s="75"/>
      <c r="X26" s="75"/>
      <c r="Y26" s="75"/>
      <c r="Z26" s="75"/>
      <c r="AA26" s="75"/>
    </row>
    <row r="27" spans="1:27" s="20" customFormat="1" ht="15.6" thickTop="1" thickBot="1" x14ac:dyDescent="0.35">
      <c r="A27" s="23"/>
      <c r="B27" s="79"/>
      <c r="C27" s="44"/>
      <c r="D27" s="44"/>
      <c r="E27" s="44"/>
      <c r="F27" s="44"/>
      <c r="G27" s="44"/>
      <c r="H27" s="44"/>
      <c r="I27" s="44"/>
      <c r="J27" s="44"/>
      <c r="K27" s="44"/>
      <c r="L27" s="168"/>
      <c r="M27" s="660"/>
      <c r="N27" s="660"/>
      <c r="O27" s="659"/>
      <c r="P27" s="168"/>
      <c r="Q27" s="168"/>
      <c r="R27" s="168"/>
      <c r="S27" s="44"/>
      <c r="T27" s="44"/>
      <c r="U27" s="44"/>
      <c r="V27" s="44"/>
      <c r="W27" s="44"/>
      <c r="X27" s="44"/>
      <c r="Y27" s="44"/>
      <c r="Z27" s="44"/>
      <c r="AA27" s="44"/>
    </row>
    <row r="28" spans="1:27" ht="24.9" customHeight="1" thickBot="1" x14ac:dyDescent="0.35">
      <c r="B28" s="740" t="s">
        <v>202</v>
      </c>
      <c r="C28" s="740"/>
      <c r="D28" s="740"/>
      <c r="E28" s="740"/>
      <c r="F28" s="740"/>
      <c r="G28" s="740"/>
      <c r="H28" s="740"/>
      <c r="I28" s="740"/>
      <c r="J28" s="740"/>
      <c r="K28" s="740"/>
      <c r="L28" s="740"/>
      <c r="M28" s="740"/>
      <c r="N28" s="741"/>
      <c r="O28" s="732" t="s">
        <v>200</v>
      </c>
      <c r="P28" s="732"/>
      <c r="Q28" s="732"/>
      <c r="R28" s="293"/>
      <c r="S28" s="240"/>
      <c r="T28" s="240"/>
      <c r="U28" s="76"/>
      <c r="V28" s="76"/>
      <c r="W28" s="76"/>
      <c r="X28" s="75"/>
      <c r="Y28" s="75"/>
    </row>
    <row r="29" spans="1:27" ht="58.8" thickTop="1" thickBot="1" x14ac:dyDescent="0.35">
      <c r="B29" s="124" t="s">
        <v>0</v>
      </c>
      <c r="C29" s="109" t="s">
        <v>167</v>
      </c>
      <c r="D29" s="109" t="s">
        <v>154</v>
      </c>
      <c r="E29" s="109" t="s">
        <v>168</v>
      </c>
      <c r="F29" s="109" t="s">
        <v>24</v>
      </c>
      <c r="G29" s="110" t="s">
        <v>169</v>
      </c>
      <c r="H29" s="109" t="s">
        <v>170</v>
      </c>
      <c r="I29" s="109" t="s">
        <v>116</v>
      </c>
      <c r="J29" s="109" t="s">
        <v>197</v>
      </c>
      <c r="K29" s="109" t="s">
        <v>198</v>
      </c>
      <c r="L29" s="109" t="s">
        <v>199</v>
      </c>
      <c r="M29" s="109" t="s">
        <v>158</v>
      </c>
      <c r="N29" s="123" t="s">
        <v>152</v>
      </c>
      <c r="O29" s="620" t="s">
        <v>222</v>
      </c>
      <c r="P29" s="621" t="s">
        <v>37</v>
      </c>
      <c r="Q29" s="621" t="s">
        <v>35</v>
      </c>
      <c r="R29" s="621" t="s">
        <v>36</v>
      </c>
      <c r="S29" s="622" t="s">
        <v>211</v>
      </c>
      <c r="T29" s="622" t="s">
        <v>255</v>
      </c>
      <c r="U29" s="622" t="s">
        <v>256</v>
      </c>
      <c r="V29" s="622" t="s">
        <v>151</v>
      </c>
      <c r="W29" s="76"/>
      <c r="X29" s="75"/>
      <c r="Y29" s="75"/>
    </row>
    <row r="30" spans="1:27" s="1" customFormat="1" ht="16.8" thickTop="1" thickBot="1" x14ac:dyDescent="0.35">
      <c r="B30" s="463" t="s">
        <v>141</v>
      </c>
      <c r="C30" s="464">
        <v>160000</v>
      </c>
      <c r="D30" s="464">
        <v>13365</v>
      </c>
      <c r="E30" s="465">
        <v>10</v>
      </c>
      <c r="F30" s="466" t="s">
        <v>30</v>
      </c>
      <c r="G30" s="467">
        <v>152000</v>
      </c>
      <c r="H30" s="465">
        <v>14</v>
      </c>
      <c r="I30" s="466" t="s">
        <v>22</v>
      </c>
      <c r="J30" s="464">
        <v>4000</v>
      </c>
      <c r="K30" s="465">
        <v>6</v>
      </c>
      <c r="L30" s="466" t="s">
        <v>26</v>
      </c>
      <c r="M30" s="468">
        <v>27</v>
      </c>
      <c r="N30" s="469">
        <v>7500</v>
      </c>
      <c r="O30" s="623">
        <f>M30</f>
        <v>27</v>
      </c>
      <c r="P30" s="624">
        <f>(C30+D30+G30+J30-N30)/(M30+1)</f>
        <v>11495.178571428571</v>
      </c>
      <c r="Q30" s="653">
        <f>IF(OR(F30="R",F30="B"),E30,0)+IF(I30="R",H30,0)+IF(L30="R",K30,0)</f>
        <v>24</v>
      </c>
      <c r="R30" s="600">
        <f>IF(OR(F30="L",F30="B"),E30,0)+IF(I30="L",H30,0)+IF(L30="L",K30,0)</f>
        <v>16</v>
      </c>
      <c r="S30" s="626">
        <f>C30+D30+G30-N30</f>
        <v>317865</v>
      </c>
      <c r="T30" s="661"/>
      <c r="U30" s="658">
        <f>IF(B30="",0,1)</f>
        <v>1</v>
      </c>
      <c r="V30" s="626">
        <f>C30+D30+G30+J30-N30</f>
        <v>321865</v>
      </c>
      <c r="W30" s="76"/>
      <c r="X30" s="75"/>
      <c r="Y30" s="75"/>
    </row>
    <row r="31" spans="1:27" s="1" customFormat="1" ht="16.8" thickTop="1" thickBot="1" x14ac:dyDescent="0.35">
      <c r="B31" s="459" t="s">
        <v>235</v>
      </c>
      <c r="C31" s="460">
        <v>145000</v>
      </c>
      <c r="D31" s="460">
        <v>13365</v>
      </c>
      <c r="E31" s="461">
        <v>10</v>
      </c>
      <c r="F31" s="457" t="s">
        <v>30</v>
      </c>
      <c r="G31" s="613"/>
      <c r="H31" s="615"/>
      <c r="I31" s="617"/>
      <c r="J31" s="455">
        <v>8000</v>
      </c>
      <c r="K31" s="456">
        <v>8</v>
      </c>
      <c r="L31" s="457" t="s">
        <v>22</v>
      </c>
      <c r="M31" s="458">
        <v>27</v>
      </c>
      <c r="N31" s="462">
        <v>7700</v>
      </c>
      <c r="O31" s="623">
        <f>M31</f>
        <v>27</v>
      </c>
      <c r="P31" s="652">
        <f>(C31+D31+G31+J31-N31)/(M31+1)</f>
        <v>5666.6071428571431</v>
      </c>
      <c r="Q31" s="653">
        <f>IF(OR(F31="R",F31="B"),E31,0)+IF(I31="R",H31,0)+IF(L31="R",K31,0)</f>
        <v>18</v>
      </c>
      <c r="R31" s="600">
        <f>IF(OR(F31="L",F31="B"),E31,0)+IF(I31="L",H31,0)+IF(L31="L",K31,0)</f>
        <v>10</v>
      </c>
      <c r="S31" s="626">
        <f>C31+D31+J31-N31</f>
        <v>158665</v>
      </c>
      <c r="T31" s="633">
        <f>IF(B31="",0,1)</f>
        <v>1</v>
      </c>
      <c r="U31" s="658">
        <f>Q31+Q32</f>
        <v>28</v>
      </c>
      <c r="V31" s="626">
        <f>C31+D31+G31+J31-N31</f>
        <v>158665</v>
      </c>
      <c r="W31" s="76"/>
      <c r="X31" s="75"/>
      <c r="Y31" s="75"/>
    </row>
    <row r="32" spans="1:27" ht="20.100000000000001" customHeight="1" thickBot="1" x14ac:dyDescent="0.35">
      <c r="B32" s="470" t="s">
        <v>236</v>
      </c>
      <c r="C32" s="471">
        <v>145000</v>
      </c>
      <c r="D32" s="471">
        <v>13365</v>
      </c>
      <c r="E32" s="472">
        <v>10</v>
      </c>
      <c r="F32" s="473" t="s">
        <v>30</v>
      </c>
      <c r="G32" s="614"/>
      <c r="H32" s="616"/>
      <c r="I32" s="618"/>
      <c r="J32" s="471">
        <v>8000</v>
      </c>
      <c r="K32" s="472">
        <v>8</v>
      </c>
      <c r="L32" s="473" t="s">
        <v>26</v>
      </c>
      <c r="M32" s="474">
        <v>27</v>
      </c>
      <c r="N32" s="475">
        <v>7700</v>
      </c>
      <c r="O32" s="627"/>
      <c r="P32" s="652">
        <f>(C32+D32+G32+J32-N32)/(M32+1)</f>
        <v>5666.6071428571431</v>
      </c>
      <c r="Q32" s="653">
        <f>IF(OR(F32="R",F32="B"),E32,0)+IF(I32="R",H32,0)+IF(L32="R",K32,0)</f>
        <v>10</v>
      </c>
      <c r="R32" s="600">
        <f>IF(OR(F32="L",F32="B"),E32,0)+IF(I32="L",H32,0)+IF(L32="L",K32,0)</f>
        <v>18</v>
      </c>
      <c r="S32" s="626"/>
      <c r="T32" s="633">
        <f>IF(B32="",0,1)</f>
        <v>1</v>
      </c>
      <c r="U32" s="76"/>
      <c r="V32" s="626">
        <f>C32+D32+G32+J32-N32</f>
        <v>158665</v>
      </c>
      <c r="W32" s="76"/>
      <c r="X32" s="75"/>
      <c r="Y32" s="75"/>
    </row>
    <row r="33" spans="2:25" ht="15" thickTop="1" x14ac:dyDescent="0.3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80"/>
      <c r="N33" s="80"/>
      <c r="O33" s="662"/>
      <c r="P33" s="249"/>
      <c r="Q33" s="249"/>
      <c r="R33" s="249"/>
      <c r="S33" s="249"/>
      <c r="T33" s="249"/>
      <c r="U33" s="76"/>
      <c r="V33" s="76"/>
      <c r="W33" s="76"/>
      <c r="X33" s="75"/>
      <c r="Y33" s="75"/>
    </row>
    <row r="34" spans="2:25" x14ac:dyDescent="0.3">
      <c r="O34" s="619"/>
      <c r="P34" s="44"/>
      <c r="Q34" s="44"/>
      <c r="R34" s="44"/>
      <c r="S34" s="44"/>
      <c r="T34" s="44"/>
      <c r="U34" s="75"/>
      <c r="V34" s="75"/>
      <c r="W34" s="75"/>
      <c r="X34" s="75"/>
      <c r="Y34" s="75"/>
    </row>
    <row r="35" spans="2:25" x14ac:dyDescent="0.3">
      <c r="G35" s="1"/>
      <c r="O35" s="80"/>
      <c r="P35" s="75"/>
      <c r="Q35" s="44"/>
      <c r="R35" s="75"/>
      <c r="S35" s="75"/>
      <c r="T35" s="75"/>
      <c r="U35" s="75"/>
      <c r="V35" s="75"/>
      <c r="W35" s="75"/>
      <c r="X35" s="75"/>
      <c r="Y35" s="75"/>
    </row>
    <row r="36" spans="2:25" x14ac:dyDescent="0.3">
      <c r="O36" s="80"/>
      <c r="P36" s="75"/>
      <c r="Q36" s="44"/>
      <c r="R36" s="75"/>
      <c r="S36" s="75"/>
      <c r="T36" s="75"/>
      <c r="U36" s="75"/>
      <c r="V36" s="75"/>
      <c r="W36" s="75"/>
      <c r="X36" s="75"/>
      <c r="Y36" s="75"/>
    </row>
    <row r="37" spans="2:25" x14ac:dyDescent="0.3">
      <c r="O37" s="80"/>
      <c r="P37" s="75"/>
      <c r="Q37" s="44"/>
      <c r="R37" s="75"/>
      <c r="S37" s="75"/>
      <c r="T37" s="75"/>
      <c r="U37" s="75"/>
      <c r="V37" s="75"/>
      <c r="W37" s="75"/>
      <c r="X37" s="75"/>
      <c r="Y37" s="75"/>
    </row>
    <row r="38" spans="2:25" x14ac:dyDescent="0.3">
      <c r="O38" s="80"/>
      <c r="P38" s="75"/>
      <c r="Q38" s="44"/>
      <c r="R38" s="75"/>
      <c r="S38" s="75"/>
      <c r="T38" s="75"/>
      <c r="U38" s="75"/>
      <c r="V38" s="75"/>
      <c r="W38" s="75"/>
      <c r="X38" s="75"/>
      <c r="Y38" s="75"/>
    </row>
    <row r="39" spans="2:25" x14ac:dyDescent="0.3">
      <c r="O39" s="80"/>
      <c r="P39" s="75"/>
      <c r="Q39" s="44"/>
      <c r="R39" s="75"/>
      <c r="S39" s="75"/>
      <c r="T39" s="75"/>
      <c r="U39" s="75"/>
      <c r="V39" s="75"/>
      <c r="W39" s="75"/>
      <c r="X39" s="75"/>
      <c r="Y39" s="75"/>
    </row>
    <row r="40" spans="2:25" x14ac:dyDescent="0.3">
      <c r="O40" s="80"/>
      <c r="P40" s="75"/>
      <c r="Q40" s="44" t="s">
        <v>254</v>
      </c>
      <c r="R40" s="75"/>
      <c r="S40" s="75"/>
      <c r="T40" s="75"/>
      <c r="U40" s="75"/>
      <c r="V40" s="75"/>
      <c r="W40" s="75"/>
      <c r="X40" s="75"/>
      <c r="Y40" s="75"/>
    </row>
    <row r="41" spans="2:25" x14ac:dyDescent="0.3">
      <c r="O41" s="80"/>
      <c r="P41" s="75"/>
      <c r="Q41" s="44"/>
      <c r="R41" s="75"/>
      <c r="S41" s="75"/>
      <c r="T41" s="75"/>
      <c r="U41" s="75"/>
      <c r="V41" s="75"/>
      <c r="W41" s="75"/>
      <c r="X41" s="75"/>
      <c r="Y41" s="75"/>
    </row>
    <row r="42" spans="2:25" x14ac:dyDescent="0.3">
      <c r="Q42" s="20"/>
    </row>
    <row r="43" spans="2:25" x14ac:dyDescent="0.3">
      <c r="Q43" s="20"/>
    </row>
    <row r="44" spans="2:25" x14ac:dyDescent="0.3">
      <c r="Q44" s="20"/>
    </row>
    <row r="45" spans="2:25" x14ac:dyDescent="0.3">
      <c r="Q45" s="20"/>
    </row>
    <row r="46" spans="2:25" x14ac:dyDescent="0.3">
      <c r="Q46" s="20"/>
    </row>
    <row r="47" spans="2:25" x14ac:dyDescent="0.3">
      <c r="Q47" s="20"/>
    </row>
    <row r="48" spans="2:25" x14ac:dyDescent="0.3">
      <c r="Q48" s="20"/>
    </row>
    <row r="49" spans="17:17" x14ac:dyDescent="0.3">
      <c r="Q49" s="20"/>
    </row>
    <row r="50" spans="17:17" x14ac:dyDescent="0.3">
      <c r="Q50" s="20"/>
    </row>
    <row r="51" spans="17:17" x14ac:dyDescent="0.3">
      <c r="Q51" s="20"/>
    </row>
    <row r="52" spans="17:17" x14ac:dyDescent="0.3">
      <c r="Q52" s="20"/>
    </row>
    <row r="53" spans="17:17" x14ac:dyDescent="0.3">
      <c r="Q53" s="20"/>
    </row>
    <row r="54" spans="17:17" x14ac:dyDescent="0.3">
      <c r="Q54" s="20"/>
    </row>
    <row r="55" spans="17:17" x14ac:dyDescent="0.3">
      <c r="Q55" s="20"/>
    </row>
    <row r="56" spans="17:17" x14ac:dyDescent="0.3">
      <c r="Q56" s="20"/>
    </row>
    <row r="57" spans="17:17" x14ac:dyDescent="0.3">
      <c r="Q57" s="20"/>
    </row>
    <row r="58" spans="17:17" x14ac:dyDescent="0.3">
      <c r="Q58" s="20"/>
    </row>
    <row r="59" spans="17:17" x14ac:dyDescent="0.3">
      <c r="Q59" s="20"/>
    </row>
    <row r="60" spans="17:17" x14ac:dyDescent="0.3">
      <c r="Q60" s="20"/>
    </row>
    <row r="61" spans="17:17" x14ac:dyDescent="0.3">
      <c r="Q61" s="20"/>
    </row>
    <row r="62" spans="17:17" x14ac:dyDescent="0.3">
      <c r="Q62" s="20"/>
    </row>
    <row r="63" spans="17:17" x14ac:dyDescent="0.3">
      <c r="Q63" s="20"/>
    </row>
    <row r="64" spans="17:17" x14ac:dyDescent="0.3">
      <c r="Q64" s="20"/>
    </row>
    <row r="65" spans="17:17" x14ac:dyDescent="0.3">
      <c r="Q65" s="20"/>
    </row>
    <row r="66" spans="17:17" x14ac:dyDescent="0.3">
      <c r="Q66" s="20"/>
    </row>
    <row r="67" spans="17:17" x14ac:dyDescent="0.3">
      <c r="Q67" s="20"/>
    </row>
    <row r="68" spans="17:17" x14ac:dyDescent="0.3">
      <c r="Q68" s="20"/>
    </row>
    <row r="69" spans="17:17" x14ac:dyDescent="0.3">
      <c r="Q69" s="20"/>
    </row>
    <row r="70" spans="17:17" x14ac:dyDescent="0.3">
      <c r="Q70" s="20"/>
    </row>
    <row r="71" spans="17:17" x14ac:dyDescent="0.3">
      <c r="Q71" s="20"/>
    </row>
    <row r="72" spans="17:17" x14ac:dyDescent="0.3">
      <c r="Q72" s="20"/>
    </row>
    <row r="73" spans="17:17" x14ac:dyDescent="0.3">
      <c r="Q73" s="20"/>
    </row>
    <row r="74" spans="17:17" x14ac:dyDescent="0.3">
      <c r="Q74" s="20"/>
    </row>
    <row r="75" spans="17:17" x14ac:dyDescent="0.3">
      <c r="Q75" s="20"/>
    </row>
    <row r="76" spans="17:17" x14ac:dyDescent="0.3">
      <c r="Q76" s="20"/>
    </row>
    <row r="77" spans="17:17" x14ac:dyDescent="0.3">
      <c r="Q77" s="20"/>
    </row>
    <row r="78" spans="17:17" x14ac:dyDescent="0.3">
      <c r="Q78" s="20"/>
    </row>
    <row r="79" spans="17:17" x14ac:dyDescent="0.3">
      <c r="Q79" s="20"/>
    </row>
    <row r="80" spans="17:17" x14ac:dyDescent="0.3">
      <c r="Q80" s="20"/>
    </row>
    <row r="81" spans="17:17" x14ac:dyDescent="0.3">
      <c r="Q81" s="20"/>
    </row>
    <row r="82" spans="17:17" x14ac:dyDescent="0.3">
      <c r="Q82" s="20"/>
    </row>
    <row r="83" spans="17:17" x14ac:dyDescent="0.3">
      <c r="Q83" s="20"/>
    </row>
    <row r="84" spans="17:17" x14ac:dyDescent="0.3">
      <c r="Q84" s="20"/>
    </row>
    <row r="85" spans="17:17" x14ac:dyDescent="0.3">
      <c r="Q85" s="20"/>
    </row>
    <row r="86" spans="17:17" x14ac:dyDescent="0.3">
      <c r="Q86" s="20"/>
    </row>
    <row r="87" spans="17:17" x14ac:dyDescent="0.3">
      <c r="Q87" s="20"/>
    </row>
  </sheetData>
  <sheetProtection algorithmName="SHA-512" hashValue="e+V+8QFQZkw6XiTr3Z7jA0laZnE0svwxfXHQJcQNlaRqMkR9AJGiShsTI7LAZNmwkOprHE+mFjGQRPTfrLtCGA==" saltValue="SIXGKYi0eF8RAnU2Z7173w==" spinCount="100000" sheet="1" objects="1" scenarios="1" selectLockedCells="1"/>
  <mergeCells count="11">
    <mergeCell ref="B1:I1"/>
    <mergeCell ref="O28:Q28"/>
    <mergeCell ref="L14:N14"/>
    <mergeCell ref="L22:N22"/>
    <mergeCell ref="L3:N3"/>
    <mergeCell ref="L9:N9"/>
    <mergeCell ref="B3:H3"/>
    <mergeCell ref="B9:H9"/>
    <mergeCell ref="B14:K14"/>
    <mergeCell ref="B22:K22"/>
    <mergeCell ref="B28:N28"/>
  </mergeCells>
  <conditionalFormatting sqref="B8:F8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1:I21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2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AH49"/>
  <sheetViews>
    <sheetView showGridLines="0" zoomScaleNormal="100" workbookViewId="0">
      <selection activeCell="I18" sqref="I18"/>
    </sheetView>
  </sheetViews>
  <sheetFormatPr defaultRowHeight="14.4" x14ac:dyDescent="0.3"/>
  <cols>
    <col min="1" max="1" width="2.33203125" style="1" customWidth="1"/>
    <col min="2" max="2" width="30.109375" customWidth="1"/>
    <col min="3" max="3" width="19.88671875" customWidth="1"/>
    <col min="4" max="4" width="19.109375" customWidth="1"/>
    <col min="5" max="5" width="20.88671875" customWidth="1"/>
    <col min="6" max="6" width="19" customWidth="1"/>
    <col min="7" max="7" width="16.5546875" customWidth="1"/>
    <col min="8" max="8" width="17.44140625" style="1" customWidth="1"/>
    <col min="9" max="9" width="13.6640625" style="1" customWidth="1"/>
    <col min="10" max="10" width="17.33203125" style="1" customWidth="1"/>
    <col min="11" max="11" width="17.88671875" customWidth="1"/>
    <col min="12" max="12" width="20.33203125" customWidth="1"/>
    <col min="13" max="13" width="16.44140625" customWidth="1"/>
    <col min="14" max="14" width="18.44140625" customWidth="1"/>
    <col min="15" max="15" width="20.109375" customWidth="1"/>
    <col min="16" max="16" width="18.109375" customWidth="1"/>
    <col min="17" max="17" width="17.109375" customWidth="1"/>
    <col min="18" max="18" width="25.5546875" style="1" customWidth="1"/>
    <col min="19" max="19" width="5.44140625" style="1" customWidth="1"/>
    <col min="20" max="20" width="19.109375" customWidth="1"/>
    <col min="21" max="21" width="16.109375" customWidth="1"/>
    <col min="22" max="22" width="18.44140625" customWidth="1"/>
    <col min="23" max="23" width="15.109375" customWidth="1"/>
  </cols>
  <sheetData>
    <row r="1" spans="1:34" s="44" customFormat="1" ht="39.9" customHeight="1" x14ac:dyDescent="0.3">
      <c r="B1" s="745" t="s">
        <v>9</v>
      </c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372"/>
      <c r="O1" s="372"/>
      <c r="P1" s="372"/>
    </row>
    <row r="2" spans="1:34" s="20" customFormat="1" ht="15" thickBot="1" x14ac:dyDescent="0.35"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24.9" customHeight="1" thickBot="1" x14ac:dyDescent="0.35">
      <c r="A3" s="2"/>
      <c r="B3" s="736" t="s">
        <v>6</v>
      </c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7"/>
      <c r="N3" s="742" t="s">
        <v>9</v>
      </c>
      <c r="O3" s="742"/>
      <c r="P3" s="742"/>
      <c r="Q3" s="743"/>
      <c r="R3" s="182"/>
      <c r="S3" s="303"/>
      <c r="T3" s="342"/>
      <c r="U3" s="27"/>
      <c r="V3" s="27"/>
      <c r="W3" s="27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</row>
    <row r="4" spans="1:34" ht="60" customHeight="1" thickTop="1" thickBot="1" x14ac:dyDescent="0.35">
      <c r="B4" s="101" t="s">
        <v>205</v>
      </c>
      <c r="C4" s="111" t="s">
        <v>171</v>
      </c>
      <c r="D4" s="107" t="s">
        <v>172</v>
      </c>
      <c r="E4" s="103" t="s">
        <v>196</v>
      </c>
      <c r="F4" s="108" t="s">
        <v>173</v>
      </c>
      <c r="G4" s="105" t="s">
        <v>194</v>
      </c>
      <c r="H4" s="107" t="s">
        <v>174</v>
      </c>
      <c r="I4" s="105" t="s">
        <v>175</v>
      </c>
      <c r="J4" s="107" t="s">
        <v>178</v>
      </c>
      <c r="K4" s="106" t="s">
        <v>195</v>
      </c>
      <c r="L4" s="105" t="s">
        <v>179</v>
      </c>
      <c r="M4" s="102" t="s">
        <v>229</v>
      </c>
      <c r="N4" s="343" t="s">
        <v>212</v>
      </c>
      <c r="O4" s="343" t="s">
        <v>213</v>
      </c>
      <c r="P4" s="643" t="s">
        <v>214</v>
      </c>
      <c r="Q4" s="644" t="s">
        <v>59</v>
      </c>
      <c r="R4" s="645" t="s">
        <v>221</v>
      </c>
      <c r="S4" s="302"/>
      <c r="T4" s="76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</row>
    <row r="5" spans="1:34" ht="20.100000000000001" customHeight="1" thickTop="1" thickBot="1" x14ac:dyDescent="0.35">
      <c r="B5" s="436" t="str">
        <f>IF(Table1[[#This Row],[ Configuration Name]]=0,"",Table1[[#This Row],[ Configuration Name]])</f>
        <v>12ft RH Head Plow</v>
      </c>
      <c r="C5" s="437">
        <v>7000</v>
      </c>
      <c r="D5" s="438">
        <v>2000</v>
      </c>
      <c r="E5" s="438">
        <v>500</v>
      </c>
      <c r="F5" s="381"/>
      <c r="G5" s="381"/>
      <c r="H5" s="381"/>
      <c r="I5" s="381"/>
      <c r="J5" s="382"/>
      <c r="K5" s="382"/>
      <c r="L5" s="440">
        <v>40</v>
      </c>
      <c r="M5" s="441">
        <v>45</v>
      </c>
      <c r="N5" s="646">
        <f>C24+D24</f>
        <v>527</v>
      </c>
      <c r="O5" s="646">
        <f>(Table13911[[#This Row],[  Plow Truck
 Maint. &amp; Season
Configuration  Costs]]+Table13911[[#This Row],[Head/Underbody
Plow Maint. &amp; Season Config. Costs]]+Table13911[[#This Row],[Head/Underbody Plow Consumable
 Costs]])/(Table13911[[#This Row],[ Average Number of Days/Yr of Plow
Operation]]+1)</f>
        <v>231.70731707317074</v>
      </c>
      <c r="P5" s="647">
        <f>'Plow Conf &amp; Procure'!L5/(Table13911[[#This Row],[ Average Number of Days/Yr of Plow
Operation]]+1)</f>
        <v>118.17508710801394</v>
      </c>
      <c r="Q5" s="648">
        <f t="shared" ref="Q5:Q18" si="0">IF(OR(O5=0,P5=0),0,N5+O5+P5)</f>
        <v>876.88240418118471</v>
      </c>
      <c r="R5" s="649">
        <f>SUM(Q5:Q7)/(SUM(S5:S7)+1)</f>
        <v>658.02547909407667</v>
      </c>
      <c r="S5" s="340">
        <f t="shared" ref="S5:S16" si="1">IF(OR(P5=0,O5=0),0,1)</f>
        <v>1</v>
      </c>
      <c r="T5" s="76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</row>
    <row r="6" spans="1:34" s="1" customFormat="1" ht="20.100000000000001" customHeight="1" thickBot="1" x14ac:dyDescent="0.35">
      <c r="B6" s="439" t="str">
        <f>IF(Table1[[#This Row],[ Configuration Name]]=0,"",Table1[[#This Row],[ Configuration Name]])</f>
        <v xml:space="preserve">10ft-Revs. Head Plow </v>
      </c>
      <c r="C6" s="385">
        <v>7000</v>
      </c>
      <c r="D6" s="383">
        <v>1500</v>
      </c>
      <c r="E6" s="384">
        <v>500</v>
      </c>
      <c r="F6" s="117"/>
      <c r="G6" s="117"/>
      <c r="H6" s="117"/>
      <c r="I6" s="117"/>
      <c r="J6" s="118"/>
      <c r="K6" s="118"/>
      <c r="L6" s="442">
        <v>40</v>
      </c>
      <c r="M6" s="443">
        <v>45</v>
      </c>
      <c r="N6" s="646">
        <f>C24+D24</f>
        <v>527</v>
      </c>
      <c r="O6" s="646">
        <f>(Table13911[[#This Row],[  Plow Truck
 Maint. &amp; Season
Configuration  Costs]]+Table13911[[#This Row],[Head/Underbody
Plow Maint. &amp; Season Config. Costs]]+Table13911[[#This Row],[Head/Underbody Plow Consumable
 Costs]])/(Table13911[[#This Row],[ Average Number of Days/Yr of Plow
Operation]]+1)</f>
        <v>219.51219512195121</v>
      </c>
      <c r="P6" s="647">
        <f>'Plow Conf &amp; Procure'!L6/(Table13911[[#This Row],[ Average Number of Days/Yr of Plow
Operation]]+1)</f>
        <v>116.98606271777004</v>
      </c>
      <c r="Q6" s="648">
        <f t="shared" si="0"/>
        <v>863.49825783972119</v>
      </c>
      <c r="R6" s="650" t="s">
        <v>206</v>
      </c>
      <c r="S6" s="340">
        <f t="shared" si="1"/>
        <v>1</v>
      </c>
      <c r="T6" s="76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</row>
    <row r="7" spans="1:34" ht="20.100000000000001" customHeight="1" thickBot="1" x14ac:dyDescent="0.35">
      <c r="B7" s="439" t="str">
        <f>IF(Table1[[#This Row],[ Configuration Name]]=0,"",Table1[[#This Row],[ Configuration Name]])</f>
        <v>12ft Belly Plow</v>
      </c>
      <c r="C7" s="385">
        <v>7000</v>
      </c>
      <c r="D7" s="383">
        <v>2250</v>
      </c>
      <c r="E7" s="383">
        <v>800</v>
      </c>
      <c r="F7" s="117"/>
      <c r="G7" s="117"/>
      <c r="H7" s="404"/>
      <c r="I7" s="117"/>
      <c r="J7" s="118"/>
      <c r="K7" s="118"/>
      <c r="L7" s="444">
        <v>40</v>
      </c>
      <c r="M7" s="445">
        <v>45</v>
      </c>
      <c r="N7" s="646">
        <f>C24+D24</f>
        <v>527</v>
      </c>
      <c r="O7" s="646">
        <f>(Table13911[[#This Row],[  Plow Truck
 Maint. &amp; Season
Configuration  Costs]]+Table13911[[#This Row],[Head/Underbody
Plow Maint. &amp; Season Config. Costs]]+Table13911[[#This Row],[Head/Underbody Plow Consumable
 Costs]])/(Table13911[[#This Row],[ Average Number of Days/Yr of Plow
Operation]]+1)</f>
        <v>245.1219512195122</v>
      </c>
      <c r="P7" s="647">
        <f>'Plow Conf &amp; Procure'!L7/(Table13911[[#This Row],[ Average Number of Days/Yr of Plow
Operation]]+1)</f>
        <v>119.5993031358885</v>
      </c>
      <c r="Q7" s="648">
        <f t="shared" si="0"/>
        <v>891.72125435540067</v>
      </c>
      <c r="R7" s="650" t="s">
        <v>206</v>
      </c>
      <c r="S7" s="340">
        <f t="shared" si="1"/>
        <v>1</v>
      </c>
      <c r="T7" s="76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4" ht="20.100000000000001" customHeight="1" thickBot="1" x14ac:dyDescent="0.35">
      <c r="B8" s="425" t="str">
        <f>IF('Plow Conf &amp; Procure'!B11=0,"",'Plow Conf &amp; Procure'!B11)</f>
        <v>Tele Plow</v>
      </c>
      <c r="C8" s="426">
        <v>8000</v>
      </c>
      <c r="D8" s="393"/>
      <c r="E8" s="393"/>
      <c r="F8" s="393"/>
      <c r="G8" s="393"/>
      <c r="H8" s="117"/>
      <c r="I8" s="393"/>
      <c r="J8" s="427">
        <v>3000</v>
      </c>
      <c r="K8" s="427">
        <v>500</v>
      </c>
      <c r="L8" s="428">
        <v>30</v>
      </c>
      <c r="M8" s="429">
        <v>40</v>
      </c>
      <c r="N8" s="646">
        <f>C25+D25</f>
        <v>577</v>
      </c>
      <c r="O8" s="646">
        <f>(Table13911[[#This Row],[  Plow Truck
 Maint. &amp; Season
Configuration  Costs]]+Table13911[[#This Row],[Tele Plow
Maint. &amp; Season
Config. Costs]]+Table13911[[#This Row],[Tele Plow
Consumable
Costs]])/(Table13911[[#This Row],[ Average Number of Days/Yr of Plow
Operation]]+1)</f>
        <v>370.96774193548384</v>
      </c>
      <c r="P8" s="647">
        <f>IF(Table13911[[#This Row],[Defined Plow Configurations]]="",0,'Plow Conf &amp; Procure'!M11/(Table13911[[#This Row],[ Average Number of Days/Yr of Plow
Operation]]+1))</f>
        <v>248.84792626728111</v>
      </c>
      <c r="Q8" s="648">
        <f>IF(OR(O8=0,P8=0),0,N8+O8+P8)</f>
        <v>1196.815668202765</v>
      </c>
      <c r="R8" s="649">
        <f>SUM(Q8:Q9)/(SUM(S8:S9)+1)</f>
        <v>598.40783410138249</v>
      </c>
      <c r="S8" s="340">
        <f t="shared" si="1"/>
        <v>1</v>
      </c>
      <c r="T8" s="76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</row>
    <row r="9" spans="1:34" ht="20.100000000000001" customHeight="1" thickBot="1" x14ac:dyDescent="0.35">
      <c r="B9" s="434" t="str">
        <f>IF('Plow Conf &amp; Procure'!B12=0,"",'Plow Conf &amp; Procure'!B12)</f>
        <v/>
      </c>
      <c r="C9" s="435"/>
      <c r="D9" s="117"/>
      <c r="E9" s="117"/>
      <c r="F9" s="117"/>
      <c r="G9" s="117"/>
      <c r="H9" s="117"/>
      <c r="I9" s="117"/>
      <c r="J9" s="430"/>
      <c r="K9" s="431"/>
      <c r="L9" s="432"/>
      <c r="M9" s="433"/>
      <c r="N9" s="646">
        <f>C25+D25</f>
        <v>577</v>
      </c>
      <c r="O9" s="646">
        <f>(Table13911[[#This Row],[  Plow Truck
 Maint. &amp; Season
Configuration  Costs]]+Table13911[[#This Row],[Tele Plow
Maint. &amp; Season
Config. Costs]]+Table13911[[#This Row],[Tele Plow
Consumable
Costs]])/(Table13911[[#This Row],[ Average Number of Days/Yr of Plow
Operation]]+1)</f>
        <v>0</v>
      </c>
      <c r="P9" s="647" t="str">
        <f>IF(Table13911[[#This Row],[Defined Plow Configurations]]="","",'Plow Conf &amp; Procure'!M12/(Table13911[[#This Row],[ Average Number of Days/Yr of Plow
Operation]]+1))</f>
        <v/>
      </c>
      <c r="Q9" s="648">
        <f t="shared" si="0"/>
        <v>0</v>
      </c>
      <c r="R9" s="649" t="str">
        <f>IF(Table13911[[#This Row],[Defined Plow Configurations]]="","",SUM(Q9:Q10)/SUM(S9:S10))</f>
        <v/>
      </c>
      <c r="S9" s="340">
        <f t="shared" si="1"/>
        <v>0</v>
      </c>
      <c r="T9" s="76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</row>
    <row r="10" spans="1:34" s="1" customFormat="1" ht="20.100000000000001" customHeight="1" thickBot="1" x14ac:dyDescent="0.35">
      <c r="B10" s="402" t="str">
        <f>IF('Plow Conf &amp; Procure'!B16=0,"",'Plow Conf &amp; Procure'!B16)</f>
        <v>10ft Revs. - 8ft LH Wing</v>
      </c>
      <c r="C10" s="401">
        <v>11000</v>
      </c>
      <c r="D10" s="400">
        <v>5200</v>
      </c>
      <c r="E10" s="400">
        <v>1500</v>
      </c>
      <c r="F10" s="400">
        <v>2500</v>
      </c>
      <c r="G10" s="400">
        <v>500</v>
      </c>
      <c r="H10" s="393"/>
      <c r="I10" s="393"/>
      <c r="J10" s="393"/>
      <c r="K10" s="393"/>
      <c r="L10" s="177">
        <v>40</v>
      </c>
      <c r="M10" s="399">
        <v>45</v>
      </c>
      <c r="N10" s="646">
        <f>C26+D26</f>
        <v>527</v>
      </c>
      <c r="O10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Cost]])/(Table13911[[#This Row],[ Average Number of Days/Yr of Plow
Operation]]+1)</f>
        <v>504.8780487804878</v>
      </c>
      <c r="P10" s="647">
        <f>'Plow Conf &amp; Procure'!M16/(Table13911[[#This Row],[ Average Number of Days/Yr of Plow
Operation]]+1)</f>
        <v>134.72560975609755</v>
      </c>
      <c r="Q10" s="648">
        <f t="shared" si="0"/>
        <v>1166.6036585365855</v>
      </c>
      <c r="R10" s="649">
        <f>SUM(Q10:Q14)/(SUM(S10:S14)+1)</f>
        <v>888.04834494773525</v>
      </c>
      <c r="S10" s="340">
        <f t="shared" si="1"/>
        <v>1</v>
      </c>
      <c r="T10" s="76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</row>
    <row r="11" spans="1:34" s="1" customFormat="1" ht="20.100000000000001" customHeight="1" thickBot="1" x14ac:dyDescent="0.35">
      <c r="B11" s="114" t="str">
        <f>IF('Plow Conf &amp; Procure'!B17=0,"",'Plow Conf &amp; Procure'!B17)</f>
        <v>12ft R. - 8ft RH Wing</v>
      </c>
      <c r="C11" s="173">
        <v>11500</v>
      </c>
      <c r="D11" s="171">
        <v>5500</v>
      </c>
      <c r="E11" s="171">
        <v>1500</v>
      </c>
      <c r="F11" s="171">
        <v>2500</v>
      </c>
      <c r="G11" s="171">
        <v>600</v>
      </c>
      <c r="H11" s="117"/>
      <c r="I11" s="117"/>
      <c r="J11" s="117"/>
      <c r="K11" s="117"/>
      <c r="L11" s="174">
        <v>40</v>
      </c>
      <c r="M11" s="175">
        <v>45</v>
      </c>
      <c r="N11" s="646">
        <f>C26+D26</f>
        <v>527</v>
      </c>
      <c r="O11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Cost]])/(Table13911[[#This Row],[ Average Number of Days/Yr of Plow
Operation]]+1)</f>
        <v>526.82926829268297</v>
      </c>
      <c r="P11" s="647">
        <f>'Plow Conf &amp; Procure'!M17/(Table13911[[#This Row],[ Average Number of Days/Yr of Plow
Operation]]+1)</f>
        <v>136.14982578397212</v>
      </c>
      <c r="Q11" s="648">
        <f>IF(OR(O11=0,P11=0),0,N11+O11+P11)</f>
        <v>1189.9790940766552</v>
      </c>
      <c r="R11" s="650" t="s">
        <v>206</v>
      </c>
      <c r="S11" s="340">
        <f t="shared" si="1"/>
        <v>1</v>
      </c>
      <c r="T11" s="76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</row>
    <row r="12" spans="1:34" s="1" customFormat="1" ht="20.100000000000001" customHeight="1" thickBot="1" x14ac:dyDescent="0.35">
      <c r="B12" s="114" t="str">
        <f>IF('Plow Conf &amp; Procure'!B18=0,"",'Plow Conf &amp; Procure'!B18)</f>
        <v>10 Revs. -8ft Wing</v>
      </c>
      <c r="C12" s="173">
        <v>12000</v>
      </c>
      <c r="D12" s="171">
        <v>5500</v>
      </c>
      <c r="E12" s="171">
        <v>1500</v>
      </c>
      <c r="F12" s="171">
        <v>2500</v>
      </c>
      <c r="G12" s="171">
        <v>550</v>
      </c>
      <c r="H12" s="121"/>
      <c r="I12" s="121"/>
      <c r="J12" s="117"/>
      <c r="K12" s="117"/>
      <c r="L12" s="176">
        <v>40</v>
      </c>
      <c r="M12" s="175">
        <v>45</v>
      </c>
      <c r="N12" s="646">
        <f>C26+D26</f>
        <v>527</v>
      </c>
      <c r="O12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Cost]])/(Table13911[[#This Row],[ Average Number of Days/Yr of Plow
Operation]]+1)</f>
        <v>537.80487804878044</v>
      </c>
      <c r="P12" s="647">
        <f>'Plow Conf &amp; Procure'!M18/(Table13911[[#This Row],[ Average Number of Days/Yr of Plow
Operation]]+1)</f>
        <v>130.80574912891987</v>
      </c>
      <c r="Q12" s="648">
        <f t="shared" si="0"/>
        <v>1195.6106271777003</v>
      </c>
      <c r="R12" s="650" t="s">
        <v>206</v>
      </c>
      <c r="S12" s="340">
        <f t="shared" si="1"/>
        <v>1</v>
      </c>
      <c r="T12" s="76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</row>
    <row r="13" spans="1:34" s="1" customFormat="1" ht="20.100000000000001" customHeight="1" thickBot="1" x14ac:dyDescent="0.35">
      <c r="B13" s="114" t="str">
        <f>IF('Plow Conf &amp; Procure'!B19=0,"",'Plow Conf &amp; Procure'!B19)</f>
        <v/>
      </c>
      <c r="C13" s="170"/>
      <c r="D13" s="172"/>
      <c r="E13" s="185"/>
      <c r="F13" s="185"/>
      <c r="G13" s="386"/>
      <c r="H13" s="121"/>
      <c r="I13" s="121"/>
      <c r="J13" s="121"/>
      <c r="K13" s="121"/>
      <c r="L13" s="174"/>
      <c r="M13" s="175"/>
      <c r="N13" s="646">
        <f>C26+D26</f>
        <v>527</v>
      </c>
      <c r="O13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Cost]])/(Table13911[[#This Row],[ Average Number of Days/Yr of Plow
Operation]]+1)</f>
        <v>0</v>
      </c>
      <c r="P13" s="647">
        <f>'Plow Conf &amp; Procure'!M19/(Table13911[[#This Row],[ Average Number of Days/Yr of Plow
Operation]]+1)</f>
        <v>0</v>
      </c>
      <c r="Q13" s="648">
        <f>IF(OR(O13=0,P13=0),0,N13+O13+P13)</f>
        <v>0</v>
      </c>
      <c r="R13" s="650" t="s">
        <v>206</v>
      </c>
      <c r="S13" s="340">
        <f t="shared" si="1"/>
        <v>0</v>
      </c>
      <c r="T13" s="76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</row>
    <row r="14" spans="1:34" s="1" customFormat="1" ht="20.100000000000001" customHeight="1" thickBot="1" x14ac:dyDescent="0.35">
      <c r="B14" s="387" t="str">
        <f>IF('Plow Conf &amp; Procure'!B20=0,"",'Plow Conf &amp; Procure'!B20)</f>
        <v/>
      </c>
      <c r="C14" s="389"/>
      <c r="D14" s="391"/>
      <c r="E14" s="391"/>
      <c r="F14" s="391"/>
      <c r="G14" s="394"/>
      <c r="H14" s="121"/>
      <c r="I14" s="121"/>
      <c r="J14" s="121"/>
      <c r="K14" s="121"/>
      <c r="L14" s="395"/>
      <c r="M14" s="397"/>
      <c r="N14" s="646">
        <f>C26+D26</f>
        <v>527</v>
      </c>
      <c r="O14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Cost]])/(Table13911[[#This Row],[ Average Number of Days/Yr of Plow
Operation]]+1)</f>
        <v>0</v>
      </c>
      <c r="P14" s="647">
        <f>'Plow Conf &amp; Procure'!M20/(Table13911[[#This Row],[ Average Number of Days/Yr of Plow
Operation]]+1)</f>
        <v>0</v>
      </c>
      <c r="Q14" s="648">
        <f t="shared" si="0"/>
        <v>0</v>
      </c>
      <c r="R14" s="650" t="s">
        <v>206</v>
      </c>
      <c r="S14" s="340">
        <f t="shared" si="1"/>
        <v>0</v>
      </c>
      <c r="T14" s="76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</row>
    <row r="15" spans="1:34" s="1" customFormat="1" ht="20.100000000000001" customHeight="1" thickBot="1" x14ac:dyDescent="0.35">
      <c r="B15" s="388" t="str">
        <f>IF('Plow Conf &amp; Procure'!B24=0,"",'Plow Conf &amp; Procure'!B24)</f>
        <v>12ft-RH w/Tow Plow</v>
      </c>
      <c r="C15" s="390">
        <v>18000</v>
      </c>
      <c r="D15" s="392">
        <v>9000</v>
      </c>
      <c r="E15" s="392">
        <v>1500</v>
      </c>
      <c r="F15" s="393"/>
      <c r="G15" s="117"/>
      <c r="H15" s="392">
        <v>1500</v>
      </c>
      <c r="I15" s="392">
        <v>500</v>
      </c>
      <c r="J15" s="393"/>
      <c r="K15" s="393"/>
      <c r="L15" s="396">
        <v>40</v>
      </c>
      <c r="M15" s="398">
        <v>45</v>
      </c>
      <c r="N15" s="646">
        <f>C27+D27</f>
        <v>627</v>
      </c>
      <c r="O15" s="646">
        <f>(Table13911[[#This Row],[  Plow Truck
 Maint. &amp; Season
Configuration  Costs]]+Table13911[[#This Row],[Head/Underbody
Plow Maint. &amp; Season Config. Costs]]+Table13911[[#This Row],[Head/Underbody Plow Consumable
 Costs]]+Table13911[[#This Row],[ Tow Plow
  Maintenance &amp;
Consume Costs]]+Table13911[[#This Row],[ Tow Plow
 Storage Cost]])/(Table13911[[#This Row],[ Average Number of Days/Yr of Plow
Operation]]+1)</f>
        <v>743.90243902439022</v>
      </c>
      <c r="P15" s="647">
        <f>'Plow Conf &amp; Procure'!M24/(Table13911[[#This Row],[ Average Number of Days/Yr of Plow
Operation]]+1)</f>
        <v>276.71167247386757</v>
      </c>
      <c r="Q15" s="648">
        <f t="shared" si="0"/>
        <v>1647.6141114982579</v>
      </c>
      <c r="R15" s="649">
        <f>SUM(Q15:Q16)/(SUM(S15:S16)+1)</f>
        <v>823.80705574912895</v>
      </c>
      <c r="S15" s="340">
        <f t="shared" si="1"/>
        <v>1</v>
      </c>
      <c r="T15" s="76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</row>
    <row r="16" spans="1:34" s="1" customFormat="1" ht="20.100000000000001" customHeight="1" thickBot="1" x14ac:dyDescent="0.35">
      <c r="B16" s="115" t="str">
        <f>IF('Plow Conf &amp; Procure'!B25=0,"",'Plow Conf &amp; Procure'!B25)</f>
        <v/>
      </c>
      <c r="C16" s="181"/>
      <c r="D16" s="179"/>
      <c r="E16" s="179"/>
      <c r="F16" s="404"/>
      <c r="G16" s="404"/>
      <c r="H16" s="179"/>
      <c r="I16" s="179"/>
      <c r="J16" s="117"/>
      <c r="K16" s="117"/>
      <c r="L16" s="178"/>
      <c r="M16" s="405"/>
      <c r="N16" s="646">
        <f>C27+D27</f>
        <v>627</v>
      </c>
      <c r="O16" s="646">
        <f>(Table13911[[#This Row],[  Plow Truck
 Maint. &amp; Season
Configuration  Costs]]+Table13911[[#This Row],[Head/Underbody
Plow Maint. &amp; Season Config. Costs]]+Table13911[[#This Row],[Head/Underbody Plow Consumable
 Costs]]+Table13911[[#This Row],[ Tow Plow
  Maintenance &amp;
Consume Costs]]+Table13911[[#This Row],[ Tow Plow
 Storage Cost]])/(Table13911[[#This Row],[ Average Number of Days/Yr of Plow
Operation]]+1)</f>
        <v>0</v>
      </c>
      <c r="P16" s="647">
        <f>'Plow Conf &amp; Procure'!M25/(Table13911[[#This Row],[ Average Number of Days/Yr of Plow
Operation]]+1)</f>
        <v>0</v>
      </c>
      <c r="Q16" s="648">
        <f t="shared" si="0"/>
        <v>0</v>
      </c>
      <c r="R16" s="650" t="s">
        <v>206</v>
      </c>
      <c r="S16" s="340">
        <f t="shared" si="1"/>
        <v>0</v>
      </c>
      <c r="T16" s="76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</row>
    <row r="17" spans="1:34" s="1" customFormat="1" ht="20.100000000000001" customHeight="1" thickBot="1" x14ac:dyDescent="0.35">
      <c r="B17" s="587" t="str">
        <f>IF('Plow Conf &amp; Procure'!B26=0,"",'Plow Conf &amp; Procure'!B26)</f>
        <v>12ft Revs-Bi-Di Tow Plow</v>
      </c>
      <c r="C17" s="406">
        <v>18500</v>
      </c>
      <c r="D17" s="407">
        <v>9000</v>
      </c>
      <c r="E17" s="407">
        <v>2000</v>
      </c>
      <c r="F17" s="117"/>
      <c r="G17" s="117"/>
      <c r="H17" s="403">
        <v>1500</v>
      </c>
      <c r="I17" s="403">
        <v>500</v>
      </c>
      <c r="J17" s="393"/>
      <c r="K17" s="393"/>
      <c r="L17" s="416">
        <v>40</v>
      </c>
      <c r="M17" s="420">
        <v>45</v>
      </c>
      <c r="N17" s="646">
        <f>C28+D28</f>
        <v>627</v>
      </c>
      <c r="O17" s="646">
        <f>(Table13911[[#This Row],[  Plow Truck
 Maint. &amp; Season
Configuration  Costs]]+Table13911[[#This Row],[Head/Underbody
Plow Maint. &amp; Season Config. Costs]]+Table13911[[#This Row],[Head/Underbody Plow Consumable
 Costs]]+Table13911[[#This Row],[ Tow Plow
  Maintenance &amp;
Consume Costs]]+Table13911[[#This Row],[ Tow Plow
 Storage Cost]])/(Table13911[[#This Row],[ Average Number of Days/Yr of Plow
Operation]]+1)</f>
        <v>768.29268292682923</v>
      </c>
      <c r="P17" s="647">
        <f>'Plow Conf &amp; Procure'!M26/(Table13911[[#This Row],[ Average Number of Days/Yr of Plow
Operation]]+1)</f>
        <v>314.16811846689893</v>
      </c>
      <c r="Q17" s="648">
        <f t="shared" si="0"/>
        <v>1709.4608013937282</v>
      </c>
      <c r="R17" s="649">
        <f>Q17</f>
        <v>1709.4608013937282</v>
      </c>
      <c r="S17" s="340"/>
      <c r="T17" s="76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</row>
    <row r="18" spans="1:34" s="1" customFormat="1" ht="20.100000000000001" customHeight="1" thickBot="1" x14ac:dyDescent="0.35">
      <c r="B18" s="589" t="str">
        <f>IF('Plow Conf &amp; Procure'!B30=0,"",'Plow Conf &amp; Procure'!B30)</f>
        <v>[12ft Plow - 10ft Wing - TP]</v>
      </c>
      <c r="C18" s="423">
        <v>15541</v>
      </c>
      <c r="D18" s="411">
        <v>11912</v>
      </c>
      <c r="E18" s="411">
        <v>1500</v>
      </c>
      <c r="F18" s="411">
        <v>2500</v>
      </c>
      <c r="G18" s="411">
        <v>500</v>
      </c>
      <c r="H18" s="410">
        <v>1500</v>
      </c>
      <c r="I18" s="409">
        <v>500</v>
      </c>
      <c r="J18" s="408"/>
      <c r="K18" s="415"/>
      <c r="L18" s="417">
        <v>40</v>
      </c>
      <c r="M18" s="421">
        <v>45</v>
      </c>
      <c r="N18" s="646">
        <f>C29+D29</f>
        <v>627</v>
      </c>
      <c r="O18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Cost]]+Table13911[[#This Row],[ Tow Plow
  Maintenance &amp;
Consume Costs]]+Table13911[[#This Row],[ Tow Plow
 Storage Cost]])/(Table13911[[#This Row],[ Average Number of Days/Yr of Plow
Operation]]+1)</f>
        <v>828.1219512195122</v>
      </c>
      <c r="P18" s="647">
        <f>'Plow Conf &amp; Procure'!P30/(Table13911[[#This Row],[ Average Number of Days/Yr of Plow
Operation]]+1)</f>
        <v>280.37020905923345</v>
      </c>
      <c r="Q18" s="648">
        <f t="shared" si="0"/>
        <v>1735.4921602787456</v>
      </c>
      <c r="R18" s="649">
        <f>Q18</f>
        <v>1735.4921602787456</v>
      </c>
      <c r="S18" s="182"/>
      <c r="T18" s="76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</row>
    <row r="19" spans="1:34" s="1" customFormat="1" ht="20.100000000000001" customHeight="1" thickBot="1" x14ac:dyDescent="0.35">
      <c r="B19" s="590" t="str">
        <f>IF('Plow Conf &amp; Procure'!B31=0,"",'Plow Conf &amp; Procure'!B31)</f>
        <v>12ft Revs. - 8ft Dbl Wing - R</v>
      </c>
      <c r="C19" s="424">
        <v>18500</v>
      </c>
      <c r="D19" s="422">
        <v>11000</v>
      </c>
      <c r="E19" s="412">
        <v>2000</v>
      </c>
      <c r="F19" s="412">
        <v>2500</v>
      </c>
      <c r="G19" s="412">
        <v>500</v>
      </c>
      <c r="H19" s="651"/>
      <c r="I19" s="651"/>
      <c r="J19" s="393"/>
      <c r="K19" s="414"/>
      <c r="L19" s="418">
        <v>40</v>
      </c>
      <c r="M19" s="419">
        <v>45</v>
      </c>
      <c r="N19" s="646">
        <f>C30+D30</f>
        <v>627</v>
      </c>
      <c r="O19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Cost]]+Table13911[[#This Row],[ Tow Plow
  Maintenance &amp;
Consume Costs]]+Table13911[[#This Row],[ Tow Plow
 Storage Cost]])/(Table13911[[#This Row],[ Average Number of Days/Yr of Plow
Operation]]+1)</f>
        <v>841.46341463414637</v>
      </c>
      <c r="P19" s="647">
        <f>'Plow Conf &amp; Procure'!P31/(Table13911[[#This Row],[ Average Number of Days/Yr of Plow
Operation]]+1)</f>
        <v>138.20993031358887</v>
      </c>
      <c r="Q19" s="648">
        <f>IF(OR(O19=0,P19=0),0,N19+O19+P19)</f>
        <v>1606.6733449477351</v>
      </c>
      <c r="R19" s="649">
        <f>Q19</f>
        <v>1606.6733449477351</v>
      </c>
      <c r="S19" s="182"/>
      <c r="T19" s="76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</row>
    <row r="20" spans="1:34" ht="20.100000000000001" customHeight="1" thickBot="1" x14ac:dyDescent="0.35">
      <c r="B20" s="590" t="str">
        <f>IF('Plow Conf &amp; Procure'!B32=0,"",'Plow Conf &amp; Procure'!B32)</f>
        <v>12ft Revs. - 8ft Dbl Wing - L</v>
      </c>
      <c r="C20" s="424">
        <v>18500</v>
      </c>
      <c r="D20" s="422">
        <v>11000</v>
      </c>
      <c r="E20" s="412">
        <v>2000</v>
      </c>
      <c r="F20" s="412">
        <v>2500</v>
      </c>
      <c r="G20" s="412">
        <v>500</v>
      </c>
      <c r="H20" s="651"/>
      <c r="I20" s="651"/>
      <c r="J20" s="393"/>
      <c r="K20" s="414"/>
      <c r="L20" s="418">
        <v>40</v>
      </c>
      <c r="M20" s="419">
        <v>45</v>
      </c>
      <c r="N20" s="646">
        <f>C30+D30</f>
        <v>627</v>
      </c>
      <c r="O20" s="646">
        <f>(Table13911[[#This Row],[  Plow Truck
 Maint. &amp; Season
Configuration  Costs]]+Table13911[[#This Row],[Head/Underbody
Plow Maint. &amp; Season Config. Costs]]+Table13911[[#This Row],[Head/Underbody Plow Consumable
 Costs]]+Table13911[[#This Row],[ Wing Plow
  Maint. &amp; Season
Configuration  Costs]]+Table13911[[#This Row],[Wing Plow
Consumable
Cost]]+Table13911[[#This Row],[ Tow Plow
  Maintenance &amp;
Consume Costs]]+Table13911[[#This Row],[ Tow Plow
 Storage Cost]])/(Table13911[[#This Row],[ Average Number of Days/Yr of Plow
Operation]]+1)</f>
        <v>841.46341463414637</v>
      </c>
      <c r="P20" s="647">
        <f>'Plow Conf &amp; Procure'!P32/(Table13911[[#This Row],[ Average Number of Days/Yr of Plow
Operation]]+1)</f>
        <v>138.20993031358887</v>
      </c>
      <c r="Q20" s="648">
        <f>IF(OR(O20=0,P20=0),0,N20+O20+P20)</f>
        <v>1606.6733449477351</v>
      </c>
      <c r="R20" s="649">
        <f>Q20</f>
        <v>1606.6733449477351</v>
      </c>
      <c r="S20" s="182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</row>
    <row r="21" spans="1:34" x14ac:dyDescent="0.3"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20"/>
      <c r="M21" s="20"/>
      <c r="N21" s="240"/>
      <c r="O21" s="240"/>
      <c r="P21" s="240"/>
      <c r="Q21" s="182"/>
      <c r="R21" s="182"/>
      <c r="S21" s="182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</row>
    <row r="22" spans="1:34" ht="24.9" customHeight="1" thickBot="1" x14ac:dyDescent="0.35">
      <c r="B22" s="744" t="s">
        <v>10</v>
      </c>
      <c r="C22" s="744"/>
      <c r="D22" s="744"/>
      <c r="E22" s="270"/>
      <c r="F22" s="266"/>
      <c r="G22" s="263"/>
      <c r="H22" s="263"/>
      <c r="I22" s="263"/>
      <c r="J22" s="263"/>
      <c r="K22" s="263"/>
      <c r="L22" s="270"/>
      <c r="M22" s="270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</row>
    <row r="23" spans="1:34" ht="60" customHeight="1" thickTop="1" thickBot="1" x14ac:dyDescent="0.35">
      <c r="B23" s="104" t="s">
        <v>204</v>
      </c>
      <c r="C23" s="120" t="s">
        <v>177</v>
      </c>
      <c r="D23" s="119" t="s">
        <v>176</v>
      </c>
      <c r="E23" s="266"/>
      <c r="F23" s="263"/>
      <c r="G23" s="263"/>
      <c r="H23" s="266"/>
      <c r="I23" s="266"/>
      <c r="J23" s="266"/>
      <c r="K23" s="264"/>
      <c r="L23" s="267"/>
      <c r="M23" s="263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</row>
    <row r="24" spans="1:34" ht="20.100000000000001" customHeight="1" thickTop="1" x14ac:dyDescent="0.3">
      <c r="B24" s="436" t="s">
        <v>8</v>
      </c>
      <c r="C24" s="446">
        <v>327</v>
      </c>
      <c r="D24" s="447">
        <v>200</v>
      </c>
      <c r="E24" s="266"/>
      <c r="F24" s="263"/>
      <c r="G24" s="263"/>
      <c r="H24" s="263"/>
      <c r="I24" s="263"/>
      <c r="J24" s="263"/>
      <c r="K24" s="263"/>
      <c r="L24" s="266"/>
      <c r="M24" s="264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</row>
    <row r="25" spans="1:34" ht="20.100000000000001" customHeight="1" x14ac:dyDescent="0.3">
      <c r="B25" s="113" t="s">
        <v>23</v>
      </c>
      <c r="C25" s="183">
        <v>327</v>
      </c>
      <c r="D25" s="184">
        <v>250</v>
      </c>
      <c r="E25" s="266"/>
      <c r="F25" s="263"/>
      <c r="G25" s="263"/>
      <c r="H25" s="263"/>
      <c r="I25" s="263"/>
      <c r="J25" s="263"/>
      <c r="K25" s="263"/>
      <c r="L25" s="266"/>
      <c r="M25" s="263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</row>
    <row r="26" spans="1:34" ht="20.100000000000001" customHeight="1" x14ac:dyDescent="0.3">
      <c r="B26" s="112" t="s">
        <v>7</v>
      </c>
      <c r="C26" s="185">
        <v>327</v>
      </c>
      <c r="D26" s="186">
        <v>200</v>
      </c>
      <c r="E26" s="266"/>
      <c r="F26" s="263"/>
      <c r="G26" s="263"/>
      <c r="H26" s="263"/>
      <c r="I26" s="263"/>
      <c r="J26" s="263"/>
      <c r="K26" s="263"/>
      <c r="L26" s="266"/>
      <c r="M26" s="263"/>
      <c r="N26" s="75"/>
      <c r="O26" s="75"/>
      <c r="P26" s="75"/>
      <c r="Q26" s="75"/>
      <c r="R26" s="75"/>
      <c r="S26" s="75"/>
      <c r="T26" s="75"/>
    </row>
    <row r="27" spans="1:34" ht="20.100000000000001" customHeight="1" x14ac:dyDescent="0.3">
      <c r="B27" s="116" t="s">
        <v>27</v>
      </c>
      <c r="C27" s="164">
        <v>327</v>
      </c>
      <c r="D27" s="163">
        <v>300</v>
      </c>
      <c r="E27" s="266"/>
      <c r="F27" s="263"/>
      <c r="G27" s="263"/>
      <c r="H27" s="263"/>
      <c r="I27" s="588"/>
      <c r="J27" s="263"/>
      <c r="K27" s="263"/>
      <c r="L27" s="266"/>
      <c r="M27" s="263"/>
      <c r="N27" s="44"/>
      <c r="O27" s="75"/>
      <c r="P27" s="75"/>
      <c r="Q27" s="75"/>
      <c r="R27" s="75"/>
      <c r="S27" s="75"/>
      <c r="T27" s="75"/>
    </row>
    <row r="28" spans="1:34" ht="20.100000000000001" customHeight="1" x14ac:dyDescent="0.3">
      <c r="B28" s="375" t="s">
        <v>28</v>
      </c>
      <c r="C28" s="376">
        <v>327</v>
      </c>
      <c r="D28" s="377">
        <v>300</v>
      </c>
      <c r="E28" s="266"/>
      <c r="F28" s="263"/>
      <c r="G28" s="263"/>
      <c r="H28" s="263"/>
      <c r="I28" s="263"/>
      <c r="J28" s="263"/>
      <c r="K28" s="263"/>
      <c r="L28" s="266"/>
      <c r="M28" s="263"/>
      <c r="N28" s="75"/>
      <c r="O28" s="75"/>
      <c r="P28" s="75"/>
      <c r="Q28" s="75"/>
      <c r="R28" s="75"/>
      <c r="S28" s="75"/>
      <c r="T28" s="75"/>
    </row>
    <row r="29" spans="1:34" ht="20.100000000000001" customHeight="1" x14ac:dyDescent="0.3">
      <c r="B29" s="122" t="s">
        <v>58</v>
      </c>
      <c r="C29" s="180">
        <v>327</v>
      </c>
      <c r="D29" s="187">
        <v>300</v>
      </c>
      <c r="E29" s="263"/>
      <c r="F29" s="263"/>
      <c r="G29" s="263"/>
      <c r="H29" s="263"/>
      <c r="I29" s="263"/>
      <c r="J29" s="263"/>
      <c r="K29" s="264"/>
      <c r="L29" s="263"/>
      <c r="M29" s="263"/>
      <c r="N29" s="75"/>
      <c r="O29" s="75"/>
      <c r="P29" s="75"/>
      <c r="Q29" s="75"/>
      <c r="R29" s="75"/>
      <c r="S29" s="75"/>
      <c r="T29" s="75"/>
    </row>
    <row r="30" spans="1:34" ht="20.100000000000001" customHeight="1" x14ac:dyDescent="0.3">
      <c r="A30" s="50"/>
      <c r="B30" s="378" t="s">
        <v>203</v>
      </c>
      <c r="C30" s="379">
        <v>327</v>
      </c>
      <c r="D30" s="380">
        <v>300</v>
      </c>
      <c r="E30" s="263"/>
      <c r="F30" s="263"/>
      <c r="G30" s="263"/>
      <c r="H30" s="263"/>
      <c r="I30" s="263"/>
      <c r="J30" s="263"/>
      <c r="K30" s="263"/>
      <c r="L30" s="263"/>
      <c r="M30" s="263"/>
      <c r="N30" s="78"/>
      <c r="O30" s="75"/>
      <c r="P30" s="75"/>
      <c r="Q30" s="75"/>
      <c r="R30" s="75"/>
      <c r="S30" s="75"/>
      <c r="T30" s="75"/>
    </row>
    <row r="31" spans="1:34" ht="20.100000000000001" customHeight="1" x14ac:dyDescent="0.3">
      <c r="C31" s="8"/>
      <c r="D31" s="8"/>
      <c r="E31" s="263"/>
      <c r="F31" s="263"/>
      <c r="G31" s="271"/>
      <c r="H31" s="271"/>
      <c r="I31" s="271"/>
      <c r="J31" s="271"/>
      <c r="K31" s="270"/>
      <c r="L31" s="270"/>
      <c r="M31" s="270"/>
      <c r="N31" s="27"/>
      <c r="O31" s="75"/>
      <c r="P31" s="75"/>
      <c r="Q31" s="75"/>
      <c r="R31" s="75"/>
      <c r="S31" s="75"/>
      <c r="T31" s="75"/>
    </row>
    <row r="32" spans="1:34" x14ac:dyDescent="0.3">
      <c r="E32" s="75"/>
      <c r="F32" s="75"/>
      <c r="G32" s="32"/>
      <c r="H32" s="32"/>
      <c r="I32" s="32"/>
      <c r="J32" s="32"/>
      <c r="K32" s="245"/>
      <c r="L32" s="245"/>
      <c r="M32" s="28"/>
      <c r="N32" s="32"/>
      <c r="O32" s="75"/>
      <c r="P32" s="75"/>
      <c r="Q32" s="75"/>
      <c r="R32" s="75"/>
      <c r="S32" s="75"/>
      <c r="T32" s="75"/>
    </row>
    <row r="33" spans="2:20" ht="20.100000000000001" customHeight="1" x14ac:dyDescent="0.3">
      <c r="E33" s="75"/>
      <c r="F33" s="75"/>
      <c r="G33" s="26"/>
      <c r="H33" s="26"/>
      <c r="I33" s="26"/>
      <c r="J33" s="26"/>
      <c r="K33" s="24"/>
      <c r="L33" s="29"/>
      <c r="M33" s="30"/>
      <c r="N33" s="31"/>
      <c r="O33" s="75"/>
      <c r="P33" s="75"/>
      <c r="Q33" s="75"/>
      <c r="R33" s="75"/>
      <c r="S33" s="75"/>
      <c r="T33" s="75"/>
    </row>
    <row r="34" spans="2:20" ht="20.100000000000001" customHeight="1" x14ac:dyDescent="0.3">
      <c r="G34" s="26"/>
      <c r="H34" s="26"/>
      <c r="I34" s="26"/>
      <c r="J34" s="26"/>
      <c r="K34" s="24"/>
      <c r="L34" s="29"/>
      <c r="M34" s="24"/>
      <c r="N34" s="24"/>
      <c r="O34" s="75"/>
      <c r="P34" s="75"/>
      <c r="Q34" s="75"/>
      <c r="R34" s="75"/>
      <c r="S34" s="75"/>
      <c r="T34" s="75"/>
    </row>
    <row r="35" spans="2:20" ht="20.100000000000001" customHeight="1" x14ac:dyDescent="0.3">
      <c r="G35" s="26"/>
      <c r="H35" s="26"/>
      <c r="I35" s="26"/>
      <c r="J35" s="26"/>
      <c r="K35" s="24"/>
      <c r="L35" s="29"/>
      <c r="M35" s="24"/>
      <c r="N35" s="24"/>
    </row>
    <row r="36" spans="2:20" ht="20.100000000000001" customHeight="1" x14ac:dyDescent="0.3">
      <c r="G36" s="23"/>
      <c r="H36" s="23"/>
      <c r="I36" s="23"/>
      <c r="J36" s="23"/>
      <c r="K36" s="23"/>
      <c r="L36" s="23"/>
      <c r="M36" s="23"/>
      <c r="N36" s="23"/>
    </row>
    <row r="37" spans="2:20" ht="20.100000000000001" customHeight="1" x14ac:dyDescent="0.3">
      <c r="G37" s="2"/>
      <c r="H37" s="2"/>
      <c r="I37" s="2"/>
      <c r="J37" s="2"/>
      <c r="K37" s="2"/>
      <c r="L37" s="2"/>
      <c r="M37" s="2"/>
      <c r="N37" s="2"/>
    </row>
    <row r="38" spans="2:20" ht="20.100000000000001" customHeight="1" x14ac:dyDescent="0.3">
      <c r="E38" s="23"/>
    </row>
    <row r="39" spans="2:20" ht="20.100000000000001" customHeight="1" x14ac:dyDescent="0.3">
      <c r="B39" s="23"/>
      <c r="C39" s="23"/>
      <c r="D39" s="23"/>
      <c r="E39" s="27"/>
      <c r="G39" s="19"/>
    </row>
    <row r="40" spans="2:20" ht="20.100000000000001" customHeight="1" x14ac:dyDescent="0.3">
      <c r="B40" s="27"/>
      <c r="C40" s="27"/>
      <c r="D40" s="27"/>
      <c r="E40" s="22"/>
    </row>
    <row r="41" spans="2:20" x14ac:dyDescent="0.3">
      <c r="B41" s="24"/>
      <c r="C41" s="22"/>
      <c r="D41" s="22"/>
      <c r="E41" s="24"/>
    </row>
    <row r="42" spans="2:20" x14ac:dyDescent="0.3">
      <c r="B42" s="25"/>
      <c r="C42" s="26"/>
      <c r="D42" s="26"/>
      <c r="E42" s="24"/>
    </row>
    <row r="43" spans="2:20" x14ac:dyDescent="0.3">
      <c r="B43" s="25"/>
      <c r="C43" s="26"/>
      <c r="D43" s="26"/>
      <c r="E43" s="24"/>
    </row>
    <row r="44" spans="2:20" x14ac:dyDescent="0.3">
      <c r="B44" s="25"/>
      <c r="C44" s="26"/>
      <c r="D44" s="26"/>
      <c r="E44" s="24"/>
    </row>
    <row r="45" spans="2:20" x14ac:dyDescent="0.3">
      <c r="B45" s="25"/>
      <c r="C45" s="26"/>
      <c r="D45" s="26"/>
      <c r="E45" s="24"/>
    </row>
    <row r="46" spans="2:20" x14ac:dyDescent="0.3">
      <c r="B46" s="25"/>
      <c r="C46" s="26"/>
      <c r="D46" s="26"/>
      <c r="E46" s="23"/>
    </row>
    <row r="47" spans="2:20" x14ac:dyDescent="0.3">
      <c r="B47" s="23"/>
      <c r="C47" s="23"/>
      <c r="D47" s="23"/>
      <c r="E47" s="23"/>
    </row>
    <row r="48" spans="2:20" x14ac:dyDescent="0.3">
      <c r="B48" s="23"/>
      <c r="C48" s="23"/>
      <c r="D48" s="23"/>
      <c r="E48" s="23"/>
    </row>
    <row r="49" spans="2:4" x14ac:dyDescent="0.3">
      <c r="B49" s="23"/>
      <c r="C49" s="23"/>
      <c r="D49" s="23"/>
    </row>
  </sheetData>
  <sheetProtection algorithmName="SHA-512" hashValue="JErXy1H9W/CEP2Yxg/rk755pxyWhsuJr2E6vvwieWnGvtdgiMmpTmNQxpHm1jgN9jshmt6avIw43mA/Fvgk5Fg==" saltValue="O7aV0eTtBXQC2+NDyzc7tg==" spinCount="100000" sheet="1" objects="1" scenarios="1" selectLockedCells="1"/>
  <mergeCells count="4">
    <mergeCell ref="N3:Q3"/>
    <mergeCell ref="B22:D22"/>
    <mergeCell ref="B3:M3"/>
    <mergeCell ref="B1:M1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Y35"/>
  <sheetViews>
    <sheetView showGridLines="0" zoomScale="125" zoomScaleNormal="125" workbookViewId="0">
      <selection activeCell="C5" sqref="C5"/>
    </sheetView>
  </sheetViews>
  <sheetFormatPr defaultRowHeight="14.4" x14ac:dyDescent="0.3"/>
  <cols>
    <col min="1" max="1" width="2.33203125" style="1" customWidth="1"/>
    <col min="2" max="2" width="29" customWidth="1"/>
    <col min="3" max="3" width="18.109375" customWidth="1"/>
    <col min="4" max="4" width="14.6640625" customWidth="1"/>
    <col min="5" max="5" width="14.6640625" style="1" customWidth="1"/>
    <col min="6" max="6" width="14.6640625" customWidth="1"/>
    <col min="7" max="7" width="16.109375" customWidth="1"/>
    <col min="8" max="8" width="13.6640625" customWidth="1"/>
    <col min="9" max="9" width="13.6640625" style="1" customWidth="1"/>
    <col min="10" max="10" width="4.6640625" customWidth="1"/>
    <col min="11" max="12" width="12.6640625" customWidth="1"/>
    <col min="13" max="13" width="3.88671875" customWidth="1"/>
    <col min="14" max="15" width="14.6640625" customWidth="1"/>
  </cols>
  <sheetData>
    <row r="1" spans="1:25" ht="39.9" customHeight="1" thickBot="1" x14ac:dyDescent="0.35">
      <c r="B1" s="731" t="s">
        <v>139</v>
      </c>
      <c r="C1" s="731"/>
      <c r="D1" s="731"/>
      <c r="E1" s="731"/>
      <c r="F1" s="731"/>
      <c r="G1" s="21"/>
      <c r="H1" s="21"/>
      <c r="I1" s="21"/>
      <c r="J1" s="268"/>
      <c r="K1" s="268"/>
      <c r="L1" s="268"/>
      <c r="M1" s="268"/>
      <c r="N1" s="268"/>
      <c r="O1" s="268"/>
      <c r="P1" s="263"/>
      <c r="Q1" s="263"/>
      <c r="R1" s="263"/>
      <c r="S1" s="263"/>
      <c r="T1" s="263"/>
      <c r="U1" s="263"/>
      <c r="V1" s="263"/>
      <c r="W1" s="263"/>
      <c r="X1" s="263"/>
      <c r="Y1" s="263"/>
    </row>
    <row r="2" spans="1:25" s="20" customFormat="1" ht="15" thickBot="1" x14ac:dyDescent="0.35">
      <c r="B2" s="219"/>
      <c r="C2" s="219"/>
      <c r="D2" s="168"/>
      <c r="E2" s="240"/>
      <c r="F2" s="240"/>
      <c r="G2" s="240"/>
      <c r="H2" s="240"/>
      <c r="I2" s="240"/>
      <c r="J2" s="240"/>
      <c r="K2" s="746" t="s">
        <v>83</v>
      </c>
      <c r="L2" s="746"/>
      <c r="M2" s="240"/>
      <c r="N2" s="240"/>
      <c r="O2" s="240"/>
      <c r="P2" s="240"/>
      <c r="Q2" s="240"/>
      <c r="R2" s="240"/>
      <c r="S2" s="240"/>
      <c r="T2" s="265"/>
      <c r="U2" s="266"/>
      <c r="V2" s="266"/>
      <c r="W2" s="266"/>
      <c r="X2" s="266"/>
      <c r="Y2" s="266"/>
    </row>
    <row r="3" spans="1:25" ht="30" customHeight="1" thickBot="1" x14ac:dyDescent="0.35">
      <c r="A3" s="2"/>
      <c r="B3" s="749" t="s">
        <v>125</v>
      </c>
      <c r="C3" s="749"/>
      <c r="D3" s="269"/>
      <c r="E3" s="303"/>
      <c r="F3" s="303"/>
      <c r="G3" s="742" t="s">
        <v>33</v>
      </c>
      <c r="H3" s="742"/>
      <c r="I3" s="313"/>
      <c r="J3" s="182"/>
      <c r="K3" s="746"/>
      <c r="L3" s="746"/>
      <c r="M3" s="182"/>
      <c r="N3" s="182"/>
      <c r="O3" s="182"/>
      <c r="P3" s="182"/>
      <c r="Q3" s="182"/>
      <c r="R3" s="182"/>
      <c r="S3" s="182"/>
      <c r="T3" s="262"/>
      <c r="U3" s="263"/>
      <c r="V3" s="263"/>
      <c r="W3" s="263"/>
      <c r="X3" s="263"/>
      <c r="Y3" s="263"/>
    </row>
    <row r="4" spans="1:25" ht="54.9" customHeight="1" thickTop="1" thickBot="1" x14ac:dyDescent="0.35">
      <c r="B4" s="220" t="s">
        <v>187</v>
      </c>
      <c r="C4" s="221" t="s">
        <v>184</v>
      </c>
      <c r="D4" s="272"/>
      <c r="E4" s="314"/>
      <c r="F4" s="314"/>
      <c r="G4" s="315" t="s">
        <v>81</v>
      </c>
      <c r="H4" s="316" t="s">
        <v>82</v>
      </c>
      <c r="I4" s="317"/>
      <c r="J4" s="182"/>
      <c r="K4" s="318" t="s">
        <v>81</v>
      </c>
      <c r="L4" s="318" t="s">
        <v>82</v>
      </c>
      <c r="M4" s="182"/>
      <c r="N4" s="182"/>
      <c r="O4" s="182"/>
      <c r="P4" s="182"/>
      <c r="Q4" s="182"/>
      <c r="R4" s="182"/>
      <c r="S4" s="182"/>
      <c r="T4" s="262"/>
      <c r="U4" s="263"/>
      <c r="V4" s="263"/>
      <c r="W4" s="263"/>
      <c r="X4" s="263"/>
      <c r="Y4" s="263"/>
    </row>
    <row r="5" spans="1:25" ht="20.100000000000001" customHeight="1" thickTop="1" thickBot="1" x14ac:dyDescent="0.35">
      <c r="B5" s="539" t="str">
        <f>Table1391112715[[#This Row],[Defined Segment Type
(Name)]]</f>
        <v>2-Lane</v>
      </c>
      <c r="C5" s="222"/>
      <c r="D5" s="273"/>
      <c r="E5" s="306"/>
      <c r="F5" s="307"/>
      <c r="G5" s="319">
        <f>IF(OR('Define Route'!$C5=0,'Define Route'!$C5=""),0,'Segment Library'!J5)</f>
        <v>0</v>
      </c>
      <c r="H5" s="320">
        <f>IF(OR('Define Route'!$C5=0,'Define Route'!$C5=""),0,'Segment Library'!K5)</f>
        <v>0</v>
      </c>
      <c r="I5" s="290"/>
      <c r="J5" s="302"/>
      <c r="K5" s="255">
        <f>LARGE('Define Route'!$G$5:$G$9,1)</f>
        <v>14</v>
      </c>
      <c r="L5" s="255">
        <f>LARGE('Define Route'!$H$5:$H$9,1)</f>
        <v>14</v>
      </c>
      <c r="M5" s="182"/>
      <c r="N5" s="182"/>
      <c r="O5" s="182"/>
      <c r="P5" s="182"/>
      <c r="Q5" s="182"/>
      <c r="R5" s="182"/>
      <c r="S5" s="182"/>
      <c r="T5" s="262"/>
      <c r="U5" s="263"/>
      <c r="V5" s="263"/>
      <c r="W5" s="263"/>
      <c r="X5" s="263"/>
      <c r="Y5" s="263"/>
    </row>
    <row r="6" spans="1:25" ht="20.100000000000001" customHeight="1" thickBot="1" x14ac:dyDescent="0.35">
      <c r="B6" s="540" t="str">
        <f>Table1391112715[[#This Row],[Defined Segment Type
(Name)]]</f>
        <v>2-Lane clear Left</v>
      </c>
      <c r="C6" s="223"/>
      <c r="D6" s="273"/>
      <c r="E6" s="306"/>
      <c r="F6" s="307"/>
      <c r="G6" s="319" t="str">
        <f>IF(OR('Define Route'!$C6=0,'Define Route'!$C6=""),"",'Segment Library'!J6)</f>
        <v/>
      </c>
      <c r="H6" s="320">
        <f>IF(OR('Define Route'!$C6=0,'Define Route'!$C6=""),0,'Segment Library'!K6)</f>
        <v>0</v>
      </c>
      <c r="I6" s="290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262"/>
      <c r="U6" s="263"/>
      <c r="V6" s="263"/>
      <c r="W6" s="263"/>
      <c r="X6" s="263"/>
      <c r="Y6" s="263"/>
    </row>
    <row r="7" spans="1:25" ht="20.100000000000001" customHeight="1" thickBot="1" x14ac:dyDescent="0.35">
      <c r="B7" s="541" t="str">
        <f>Table1391112715[[#This Row],[Defined Segment Type
(Name)]]</f>
        <v>3-Lane Standard</v>
      </c>
      <c r="C7" s="224"/>
      <c r="D7" s="273"/>
      <c r="E7" s="306"/>
      <c r="F7" s="307"/>
      <c r="G7" s="319">
        <f>IF(OR('Define Route'!$C7=0,'Define Route'!$C7=""),0,'Segment Library'!J7)</f>
        <v>0</v>
      </c>
      <c r="H7" s="320">
        <f>IF(OR('Define Route'!$C7=0,'Define Route'!$C7=""),0,'Segment Library'!K7)</f>
        <v>0</v>
      </c>
      <c r="I7" s="290"/>
      <c r="J7" s="182"/>
      <c r="K7" s="747" t="s">
        <v>190</v>
      </c>
      <c r="L7" s="747"/>
      <c r="M7" s="182"/>
      <c r="N7" s="182"/>
      <c r="O7" s="182"/>
      <c r="P7" s="182"/>
      <c r="Q7" s="182"/>
      <c r="R7" s="182"/>
      <c r="S7" s="182"/>
      <c r="T7" s="262"/>
      <c r="U7" s="263"/>
      <c r="V7" s="263"/>
      <c r="W7" s="263"/>
      <c r="X7" s="263"/>
      <c r="Y7" s="263"/>
    </row>
    <row r="8" spans="1:25" s="20" customFormat="1" ht="20.100000000000001" customHeight="1" thickBot="1" x14ac:dyDescent="0.35">
      <c r="B8" s="540" t="str">
        <f>Table1391112715[[#This Row],[Defined Segment Type
(Name)]]</f>
        <v>2-Lane clear L&amp;R</v>
      </c>
      <c r="C8" s="223">
        <v>5</v>
      </c>
      <c r="D8" s="273"/>
      <c r="E8" s="306"/>
      <c r="F8" s="307"/>
      <c r="G8" s="319">
        <f>IF(OR('Define Route'!$C8=0,'Define Route'!$C8=""),0,'Segment Library'!J8)</f>
        <v>14</v>
      </c>
      <c r="H8" s="320">
        <f>IF(OR('Define Route'!$C8=0,'Define Route'!$C8=""),0,'Segment Library'!K8)</f>
        <v>14</v>
      </c>
      <c r="I8" s="290"/>
      <c r="J8" s="240"/>
      <c r="K8" s="747"/>
      <c r="L8" s="747"/>
      <c r="M8" s="240"/>
      <c r="N8" s="240"/>
      <c r="O8" s="240"/>
      <c r="P8" s="240"/>
      <c r="Q8" s="240"/>
      <c r="R8" s="240"/>
      <c r="S8" s="240"/>
      <c r="T8" s="265"/>
      <c r="U8" s="266"/>
      <c r="V8" s="266"/>
      <c r="W8" s="266"/>
      <c r="X8" s="266"/>
      <c r="Y8" s="266"/>
    </row>
    <row r="9" spans="1:25" ht="20.100000000000001" customHeight="1" thickBot="1" x14ac:dyDescent="0.35">
      <c r="A9" s="50"/>
      <c r="B9" s="556" t="str">
        <f>Table1391112715[[#This Row],[Defined Segment Type
(Name)]]</f>
        <v>2-Lane w/Truck lane</v>
      </c>
      <c r="C9" s="549"/>
      <c r="D9" s="273"/>
      <c r="E9" s="306"/>
      <c r="F9" s="307"/>
      <c r="G9" s="291">
        <f>IF(OR('Define Route'!$C9=0,'Define Route'!$C9=""),0,'Segment Library'!I9)</f>
        <v>0</v>
      </c>
      <c r="H9" s="301">
        <f>IF(OR('Define Route'!$C9=0,'Define Route'!$C9=""),0,'Segment Library'!K9)</f>
        <v>0</v>
      </c>
      <c r="I9" s="290"/>
      <c r="J9" s="302"/>
      <c r="K9" s="321">
        <f>SUM(C5:C9)</f>
        <v>5</v>
      </c>
      <c r="L9" s="322"/>
      <c r="M9" s="182"/>
      <c r="N9" s="169"/>
      <c r="O9" s="169"/>
      <c r="P9" s="169"/>
      <c r="Q9" s="169"/>
      <c r="R9" s="169"/>
      <c r="S9" s="169"/>
      <c r="T9" s="169"/>
      <c r="U9" s="75"/>
      <c r="V9" s="75"/>
      <c r="W9" s="263"/>
      <c r="X9" s="263"/>
      <c r="Y9" s="263"/>
    </row>
    <row r="10" spans="1:25" ht="24" customHeight="1" thickTop="1" thickBot="1" x14ac:dyDescent="0.35">
      <c r="B10" s="548"/>
      <c r="C10" s="548"/>
      <c r="D10" s="274"/>
      <c r="E10" s="293"/>
      <c r="F10" s="240"/>
      <c r="G10" s="240"/>
      <c r="H10" s="293"/>
      <c r="I10" s="293"/>
      <c r="J10" s="182"/>
      <c r="K10" s="182"/>
      <c r="L10" s="182"/>
      <c r="M10" s="182"/>
      <c r="N10" s="169"/>
      <c r="O10" s="169"/>
      <c r="P10" s="169"/>
      <c r="Q10" s="169"/>
      <c r="R10" s="169"/>
      <c r="S10" s="169"/>
      <c r="T10" s="169"/>
      <c r="U10" s="75"/>
      <c r="V10" s="75"/>
      <c r="W10" s="263"/>
      <c r="X10" s="263"/>
      <c r="Y10" s="263"/>
    </row>
    <row r="11" spans="1:25" ht="42" customHeight="1" thickBot="1" x14ac:dyDescent="0.35">
      <c r="B11" s="752" t="s">
        <v>21</v>
      </c>
      <c r="C11" s="752"/>
      <c r="D11" s="752"/>
      <c r="E11" s="323"/>
      <c r="F11" s="750" t="s">
        <v>84</v>
      </c>
      <c r="G11" s="751"/>
      <c r="H11" s="751"/>
      <c r="I11" s="751"/>
      <c r="J11" s="182"/>
      <c r="K11" s="746" t="s">
        <v>126</v>
      </c>
      <c r="L11" s="742"/>
      <c r="M11" s="247"/>
      <c r="N11" s="746" t="s">
        <v>127</v>
      </c>
      <c r="O11" s="742"/>
      <c r="P11" s="182"/>
      <c r="Q11" s="182"/>
      <c r="R11" s="182"/>
      <c r="S11" s="169"/>
      <c r="T11" s="169"/>
      <c r="U11" s="75"/>
      <c r="V11" s="75"/>
      <c r="W11" s="263"/>
      <c r="X11" s="263"/>
      <c r="Y11" s="263"/>
    </row>
    <row r="12" spans="1:25" ht="54.9" customHeight="1" thickTop="1" thickBot="1" x14ac:dyDescent="0.35">
      <c r="B12" s="220" t="s">
        <v>186</v>
      </c>
      <c r="C12" s="225" t="s">
        <v>352</v>
      </c>
      <c r="D12" s="221" t="s">
        <v>185</v>
      </c>
      <c r="E12" s="305"/>
      <c r="F12" s="324" t="s">
        <v>123</v>
      </c>
      <c r="G12" s="325" t="s">
        <v>124</v>
      </c>
      <c r="H12" s="325" t="s">
        <v>85</v>
      </c>
      <c r="I12" s="326" t="s">
        <v>86</v>
      </c>
      <c r="J12" s="293"/>
      <c r="K12" s="256" t="s">
        <v>81</v>
      </c>
      <c r="L12" s="256" t="s">
        <v>82</v>
      </c>
      <c r="M12" s="247"/>
      <c r="N12" s="256" t="s">
        <v>81</v>
      </c>
      <c r="O12" s="256" t="s">
        <v>82</v>
      </c>
      <c r="P12" s="182"/>
      <c r="Q12" s="182"/>
      <c r="R12" s="182"/>
      <c r="S12" s="169"/>
      <c r="T12" s="169"/>
      <c r="U12" s="75"/>
      <c r="V12" s="75"/>
      <c r="W12" s="263"/>
      <c r="X12" s="263"/>
      <c r="Y12" s="263"/>
    </row>
    <row r="13" spans="1:25" ht="20.100000000000001" customHeight="1" thickTop="1" thickBot="1" x14ac:dyDescent="0.35">
      <c r="B13" s="542" t="str">
        <f>IF('Nodes Library'!B5=0,"",'Nodes Library'!B5)</f>
        <v>Common 2x1 Ramp</v>
      </c>
      <c r="C13" s="226">
        <v>2</v>
      </c>
      <c r="D13" s="227">
        <v>5</v>
      </c>
      <c r="E13" s="308"/>
      <c r="F13" s="327">
        <f>IF(OR('Define Route'!$C13=0,'Define Route'!$C13=""),0,'Nodes Library'!R5)</f>
        <v>28</v>
      </c>
      <c r="G13" s="328">
        <f>IF(OR('Define Route'!$C13=0,'Define Route'!$C13=""),0,'Nodes Library'!S5)</f>
        <v>0</v>
      </c>
      <c r="H13" s="328">
        <f>IF(OR('Define Route'!$C13=0,'Define Route'!$C13=""),0,'Nodes Library'!U5)</f>
        <v>0</v>
      </c>
      <c r="I13" s="329">
        <f>IF(OR('Define Route'!$C13=0,'Define Route'!$C13=""),0,'Nodes Library'!V5)</f>
        <v>0</v>
      </c>
      <c r="J13" s="240"/>
      <c r="K13" s="255">
        <f>LARGE('Define Route'!$F$13:$F$26,1)</f>
        <v>28</v>
      </c>
      <c r="L13" s="255">
        <f>LARGE('Define Route'!$G$13:$G$26,1)</f>
        <v>14</v>
      </c>
      <c r="M13" s="247"/>
      <c r="N13" s="257">
        <f>LARGE(H13:H23,1)</f>
        <v>9</v>
      </c>
      <c r="O13" s="257">
        <f>LARGE(I13:I23,1)</f>
        <v>9</v>
      </c>
      <c r="P13" s="182"/>
      <c r="Q13" s="182"/>
      <c r="R13" s="182"/>
      <c r="S13" s="169"/>
      <c r="T13" s="169"/>
      <c r="U13" s="75"/>
      <c r="V13" s="75"/>
      <c r="W13" s="263"/>
      <c r="X13" s="263"/>
      <c r="Y13" s="263"/>
    </row>
    <row r="14" spans="1:25" ht="20.100000000000001" customHeight="1" thickBot="1" x14ac:dyDescent="0.35">
      <c r="B14" s="540" t="str">
        <f>IF('Nodes Library'!B6=0,"",'Nodes Library'!B6)</f>
        <v>2x2 Ramp</v>
      </c>
      <c r="C14" s="228">
        <v>1</v>
      </c>
      <c r="D14" s="229">
        <v>4</v>
      </c>
      <c r="E14" s="308"/>
      <c r="F14" s="327">
        <f>IF(OR('Define Route'!$C14=0,'Define Route'!$C14=""),0,'Nodes Library'!R6)</f>
        <v>16</v>
      </c>
      <c r="G14" s="328">
        <f>IF(OR('Define Route'!$C14=0,'Define Route'!$C14=""),0,'Nodes Library'!S6)</f>
        <v>14</v>
      </c>
      <c r="H14" s="328">
        <f>IF(OR('Define Route'!$C14=0,'Define Route'!$C14=""),0,'Nodes Library'!U6)</f>
        <v>9</v>
      </c>
      <c r="I14" s="329">
        <f>IF(OR('Define Route'!$C14=0,'Define Route'!$C14=""),0,'Nodes Library'!V6)</f>
        <v>9</v>
      </c>
      <c r="J14" s="240"/>
      <c r="K14" s="309"/>
      <c r="L14" s="309"/>
      <c r="M14" s="182"/>
      <c r="N14" s="182"/>
      <c r="O14" s="182"/>
      <c r="P14" s="182"/>
      <c r="Q14" s="182"/>
      <c r="R14" s="182"/>
      <c r="S14" s="169"/>
      <c r="T14" s="169"/>
      <c r="U14" s="75"/>
      <c r="V14" s="75"/>
      <c r="W14" s="263"/>
      <c r="X14" s="263"/>
      <c r="Y14" s="263"/>
    </row>
    <row r="15" spans="1:25" ht="20.100000000000001" customHeight="1" thickBot="1" x14ac:dyDescent="0.35">
      <c r="B15" s="543" t="str">
        <f>IF('Nodes Library'!B7=0,"",'Nodes Library'!B7)</f>
        <v>OC Ramp Std.</v>
      </c>
      <c r="C15" s="230"/>
      <c r="D15" s="231"/>
      <c r="E15" s="310"/>
      <c r="F15" s="327">
        <f>IF(OR('Define Route'!$C15=0,'Define Route'!$C15=""),0,'Nodes Library'!R7)</f>
        <v>0</v>
      </c>
      <c r="G15" s="328">
        <f>IF(OR('Define Route'!$C15=0,'Define Route'!$C15=""),0,'Nodes Library'!S7)</f>
        <v>0</v>
      </c>
      <c r="H15" s="328">
        <f>IF(OR('Define Route'!$C15=0,'Define Route'!$C15=""),0,'Nodes Library'!U7)</f>
        <v>0</v>
      </c>
      <c r="I15" s="329">
        <f>IF(OR('Define Route'!$C15=0,'Define Route'!$C15=""),0,'Nodes Library'!V7)</f>
        <v>0</v>
      </c>
      <c r="J15" s="240"/>
      <c r="K15" s="748" t="s">
        <v>188</v>
      </c>
      <c r="L15" s="748"/>
      <c r="M15" s="182"/>
      <c r="N15" s="182"/>
      <c r="O15" s="182"/>
      <c r="P15" s="182"/>
      <c r="Q15" s="182"/>
      <c r="R15" s="182"/>
      <c r="S15" s="169"/>
      <c r="T15" s="169"/>
      <c r="U15" s="75"/>
      <c r="V15" s="75"/>
      <c r="W15" s="263"/>
      <c r="X15" s="263"/>
      <c r="Y15" s="263"/>
    </row>
    <row r="16" spans="1:25" s="1" customFormat="1" ht="20.100000000000001" customHeight="1" thickBot="1" x14ac:dyDescent="0.35">
      <c r="A16" s="50"/>
      <c r="B16" s="544" t="str">
        <f>IF('Nodes Library'!B8=0,"",'Nodes Library'!B8)</f>
        <v>Narrow Hwy Exit</v>
      </c>
      <c r="C16" s="232"/>
      <c r="D16" s="233"/>
      <c r="E16" s="310"/>
      <c r="F16" s="327">
        <f>IF(OR('Define Route'!$C16=0,'Define Route'!$C16=""),0,'Nodes Library'!R8)</f>
        <v>0</v>
      </c>
      <c r="G16" s="328">
        <f>IF(OR('Define Route'!$C16=0,'Define Route'!$C16=""),0,'Nodes Library'!S8)</f>
        <v>0</v>
      </c>
      <c r="H16" s="328">
        <f>IF(OR('Define Route'!$C16=0,'Define Route'!$C16=""),0,'Nodes Library'!U8)</f>
        <v>0</v>
      </c>
      <c r="I16" s="329">
        <f>IF(OR('Define Route'!$C16=0,'Define Route'!$C16=""),0,'Nodes Library'!V8)</f>
        <v>0</v>
      </c>
      <c r="J16" s="240"/>
      <c r="K16" s="748"/>
      <c r="L16" s="748"/>
      <c r="M16" s="182"/>
      <c r="N16" s="182"/>
      <c r="O16" s="182"/>
      <c r="P16" s="182"/>
      <c r="Q16" s="182"/>
      <c r="R16" s="182"/>
      <c r="S16" s="169"/>
      <c r="T16" s="169"/>
      <c r="U16" s="75"/>
      <c r="V16" s="75"/>
      <c r="W16" s="263"/>
      <c r="X16" s="263"/>
      <c r="Y16" s="263"/>
    </row>
    <row r="17" spans="2:25" s="1" customFormat="1" ht="20.100000000000001" customHeight="1" thickBot="1" x14ac:dyDescent="0.35">
      <c r="B17" s="543" t="str">
        <f>IF('Nodes Library'!B9=0,"",'Nodes Library'!B9)</f>
        <v>Narrow UC 1x1</v>
      </c>
      <c r="C17" s="230"/>
      <c r="D17" s="231"/>
      <c r="E17" s="310"/>
      <c r="F17" s="327">
        <f>IF(OR('Define Route'!$C17=0,'Define Route'!$C17=""),0,'Nodes Library'!R9)</f>
        <v>0</v>
      </c>
      <c r="G17" s="328">
        <f>IF(OR('Define Route'!$C17=0,'Define Route'!$C17=""),0,'Nodes Library'!S9)</f>
        <v>0</v>
      </c>
      <c r="H17" s="328">
        <f>IF(OR('Define Route'!$C17=0,'Define Route'!$C17=""),0,'Nodes Library'!U9)</f>
        <v>0</v>
      </c>
      <c r="I17" s="329">
        <f>IF(OR('Define Route'!$C17=0,'Define Route'!$C17=""),0,'Nodes Library'!V9)</f>
        <v>0</v>
      </c>
      <c r="J17" s="240"/>
      <c r="K17" s="311">
        <f>SUM(D13:D26)/60</f>
        <v>0.15</v>
      </c>
      <c r="L17" s="312"/>
      <c r="M17" s="182"/>
      <c r="N17" s="182"/>
      <c r="O17" s="182"/>
      <c r="P17" s="182"/>
      <c r="Q17" s="182"/>
      <c r="R17" s="182"/>
      <c r="S17" s="169"/>
      <c r="T17" s="169"/>
      <c r="U17" s="75"/>
      <c r="V17" s="75"/>
      <c r="W17" s="263"/>
      <c r="X17" s="263"/>
      <c r="Y17" s="263"/>
    </row>
    <row r="18" spans="2:25" s="1" customFormat="1" ht="20.100000000000001" customHeight="1" thickBot="1" x14ac:dyDescent="0.35">
      <c r="B18" s="540" t="str">
        <f>IF('Nodes Library'!B13=0,"",'Nodes Library'!B13)</f>
        <v>Hwy 2-Lane Merge</v>
      </c>
      <c r="C18" s="232"/>
      <c r="D18" s="233"/>
      <c r="E18" s="310"/>
      <c r="F18" s="327">
        <f>IF(OR('Define Route'!$C18=0,'Define Route'!$C18=""),0,'Nodes Library'!R13)</f>
        <v>0</v>
      </c>
      <c r="G18" s="328">
        <f>IF(OR('Define Route'!$C18=0,'Define Route'!$C18=""),0,'Nodes Library'!S13)</f>
        <v>0</v>
      </c>
      <c r="H18" s="328">
        <f>IF(OR('Define Route'!$C18=0,'Define Route'!$C18=""),0,'Nodes Library'!U13)</f>
        <v>0</v>
      </c>
      <c r="I18" s="329">
        <f>IF(OR('Define Route'!$C18=0,'Define Route'!$C18=""),0,'Nodes Library'!V13)</f>
        <v>0</v>
      </c>
      <c r="J18" s="240"/>
      <c r="K18" s="309"/>
      <c r="L18" s="309"/>
      <c r="M18" s="182"/>
      <c r="N18" s="182"/>
      <c r="O18" s="182"/>
      <c r="P18" s="182"/>
      <c r="Q18" s="182"/>
      <c r="R18" s="182"/>
      <c r="S18" s="169"/>
      <c r="T18" s="169"/>
      <c r="U18" s="75"/>
      <c r="V18" s="75"/>
      <c r="W18" s="263"/>
      <c r="X18" s="263"/>
      <c r="Y18" s="263"/>
    </row>
    <row r="19" spans="2:25" ht="20.100000000000001" customHeight="1" thickBot="1" x14ac:dyDescent="0.35">
      <c r="B19" s="545" t="str">
        <f>IF('Nodes Library'!B14=0,"",'Nodes Library'!B14)</f>
        <v>Hwy 3-Lane Merge</v>
      </c>
      <c r="C19" s="234"/>
      <c r="D19" s="235"/>
      <c r="E19" s="308"/>
      <c r="F19" s="327">
        <f>IF(OR('Define Route'!$C19=0,'Define Route'!$C19=""),0,'Nodes Library'!R14)</f>
        <v>0</v>
      </c>
      <c r="G19" s="328">
        <f>IF(OR('Define Route'!$C19=0,'Define Route'!$C19=""),0,'Nodes Library'!S14)</f>
        <v>0</v>
      </c>
      <c r="H19" s="328">
        <f>IF(OR('Define Route'!$C19=0,'Define Route'!$C19=""),0,'Nodes Library'!U14)</f>
        <v>0</v>
      </c>
      <c r="I19" s="329">
        <f>IF(OR('Define Route'!$C19=0,'Define Route'!$C19=""),0,'Nodes Library'!V14)</f>
        <v>0</v>
      </c>
      <c r="J19" s="240"/>
      <c r="K19" s="309"/>
      <c r="L19" s="309"/>
      <c r="M19" s="182"/>
      <c r="N19" s="182"/>
      <c r="O19" s="182"/>
      <c r="P19" s="182"/>
      <c r="Q19" s="182"/>
      <c r="R19" s="182"/>
      <c r="S19" s="169"/>
      <c r="T19" s="169"/>
      <c r="U19" s="75"/>
      <c r="V19" s="75"/>
      <c r="W19" s="263"/>
      <c r="X19" s="263"/>
      <c r="Y19" s="263"/>
    </row>
    <row r="20" spans="2:25" ht="20.100000000000001" customHeight="1" thickBot="1" x14ac:dyDescent="0.35">
      <c r="B20" s="540" t="str">
        <f>IF('Nodes Library'!B15=0,"",'Nodes Library'!B15)</f>
        <v>Rest Stop Merge</v>
      </c>
      <c r="C20" s="228"/>
      <c r="D20" s="229"/>
      <c r="E20" s="308"/>
      <c r="F20" s="327">
        <f>IF(OR('Define Route'!$C20=0,'Define Route'!$C20=""),0,'Nodes Library'!R15)</f>
        <v>0</v>
      </c>
      <c r="G20" s="328">
        <f>IF(OR('Define Route'!$C20=0,'Define Route'!$C20=""),0,'Nodes Library'!S15)</f>
        <v>0</v>
      </c>
      <c r="H20" s="328">
        <f>IF(OR('Define Route'!$C20=0,'Define Route'!$C20=""),0,'Nodes Library'!U15)</f>
        <v>0</v>
      </c>
      <c r="I20" s="329">
        <f>IF(OR('Define Route'!$C20=0,'Define Route'!$C20=""),0,'Nodes Library'!V15)</f>
        <v>0</v>
      </c>
      <c r="J20" s="182"/>
      <c r="K20" s="182"/>
      <c r="L20" s="182"/>
      <c r="M20" s="182"/>
      <c r="N20" s="182"/>
      <c r="O20" s="182"/>
      <c r="P20" s="182"/>
      <c r="Q20" s="182"/>
      <c r="R20" s="182"/>
      <c r="S20" s="169"/>
      <c r="T20" s="169"/>
      <c r="U20" s="75"/>
      <c r="V20" s="75"/>
      <c r="W20" s="263"/>
      <c r="X20" s="263"/>
      <c r="Y20" s="263"/>
    </row>
    <row r="21" spans="2:25" ht="20.100000000000001" customHeight="1" thickBot="1" x14ac:dyDescent="0.35">
      <c r="B21" s="546" t="str">
        <f>IF('Nodes Library'!B32=0,"",'Nodes Library'!B32)</f>
        <v>2x2 BU R Clear</v>
      </c>
      <c r="C21" s="236"/>
      <c r="D21" s="237"/>
      <c r="E21" s="308"/>
      <c r="F21" s="327">
        <f>IF(OR('Define Route'!$C21=0,'Define Route'!$C21=""),0,'Nodes Library'!R32)</f>
        <v>0</v>
      </c>
      <c r="G21" s="328">
        <f>IF(OR('Define Route'!$C21=0,'Define Route'!$C21=""),0,'Nodes Library'!S32)</f>
        <v>0</v>
      </c>
      <c r="H21" s="328">
        <f>IF(OR('Define Route'!$C21=0,'Define Route'!$C21=""),0,'Nodes Library'!U32)</f>
        <v>0</v>
      </c>
      <c r="I21" s="329">
        <f>IF(OR('Define Route'!$C21=0,'Define Route'!$C21=""),0,'Nodes Library'!V32)</f>
        <v>0</v>
      </c>
      <c r="J21" s="182"/>
      <c r="K21" s="182"/>
      <c r="L21" s="182"/>
      <c r="M21" s="182"/>
      <c r="N21" s="182"/>
      <c r="O21" s="182"/>
      <c r="P21" s="182"/>
      <c r="Q21" s="182"/>
      <c r="R21" s="182"/>
      <c r="S21" s="169"/>
      <c r="T21" s="169"/>
      <c r="U21" s="75"/>
      <c r="V21" s="75"/>
      <c r="W21" s="263"/>
      <c r="X21" s="263"/>
      <c r="Y21" s="263"/>
    </row>
    <row r="22" spans="2:25" ht="20.100000000000001" customHeight="1" thickBot="1" x14ac:dyDescent="0.35">
      <c r="B22" s="540" t="str">
        <f>IF('Nodes Library'!B33=0,"",'Nodes Library'!B33)</f>
        <v>3x2 BU R-L Clear</v>
      </c>
      <c r="C22" s="228"/>
      <c r="D22" s="229"/>
      <c r="E22" s="308"/>
      <c r="F22" s="327">
        <f>IF(OR('Define Route'!$C22=0,'Define Route'!$C22=""),0,'Nodes Library'!R33)</f>
        <v>0</v>
      </c>
      <c r="G22" s="328">
        <f>IF(OR('Define Route'!$C22=0,'Define Route'!$C22=""),0,'Nodes Library'!S33)</f>
        <v>0</v>
      </c>
      <c r="H22" s="328">
        <f>IF(OR('Define Route'!$C22=0,'Define Route'!$C22=""),0,'Nodes Library'!U33)</f>
        <v>0</v>
      </c>
      <c r="I22" s="329">
        <f>IF(OR('Define Route'!$C22=0,'Define Route'!$C22=""),0,'Nodes Library'!V33)</f>
        <v>0</v>
      </c>
      <c r="J22" s="182"/>
      <c r="K22" s="182"/>
      <c r="L22" s="182"/>
      <c r="M22" s="182"/>
      <c r="N22" s="182"/>
      <c r="O22" s="182"/>
      <c r="P22" s="182"/>
      <c r="Q22" s="182"/>
      <c r="R22" s="182"/>
      <c r="S22" s="169"/>
      <c r="T22" s="169"/>
      <c r="U22" s="75"/>
      <c r="V22" s="75"/>
      <c r="W22" s="263"/>
      <c r="X22" s="263"/>
      <c r="Y22" s="263"/>
    </row>
    <row r="23" spans="2:25" ht="20.100000000000001" customHeight="1" thickBot="1" x14ac:dyDescent="0.35">
      <c r="B23" s="555" t="str">
        <f>IF('Nodes Library'!B34=0,"",'Nodes Library'!B34)</f>
        <v/>
      </c>
      <c r="C23" s="236"/>
      <c r="D23" s="237"/>
      <c r="E23" s="308"/>
      <c r="F23" s="327">
        <f>IF(OR('Define Route'!$C23=0,'Define Route'!$C23=""),0,'Nodes Library'!R34)</f>
        <v>0</v>
      </c>
      <c r="G23" s="328">
        <f>IF(OR('Define Route'!$C23=0,'Define Route'!$C23=""),0,'Nodes Library'!S34)</f>
        <v>0</v>
      </c>
      <c r="H23" s="328">
        <f>IF(OR('Define Route'!$C23=0,'Define Route'!$C23=0),0,'Nodes Library'!U34)</f>
        <v>0</v>
      </c>
      <c r="I23" s="329">
        <f>IF(OR('Define Route'!$C23=0,'Define Route'!$C23=""),0,'Nodes Library'!V34)</f>
        <v>0</v>
      </c>
      <c r="J23" s="182"/>
      <c r="K23" s="182"/>
      <c r="L23" s="302"/>
      <c r="M23" s="182"/>
      <c r="N23" s="182"/>
      <c r="O23" s="182"/>
      <c r="P23" s="182"/>
      <c r="Q23" s="182"/>
      <c r="R23" s="182"/>
      <c r="S23" s="169"/>
      <c r="T23" s="169"/>
      <c r="U23" s="75"/>
      <c r="V23" s="75"/>
      <c r="W23" s="263"/>
      <c r="X23" s="263"/>
      <c r="Y23" s="263"/>
    </row>
    <row r="24" spans="2:25" ht="20.100000000000001" customHeight="1" thickBot="1" x14ac:dyDescent="0.35">
      <c r="B24" s="540" t="str">
        <f>IF('Nodes Library'!B38=0,"",'Nodes Library'!B38)</f>
        <v>2x2 RB Left Clear</v>
      </c>
      <c r="C24" s="228"/>
      <c r="D24" s="229"/>
      <c r="E24" s="308"/>
      <c r="F24" s="327">
        <f>IF(OR('Define Route'!$C24=0,'Define Route'!$C24=""),0,'Nodes Library'!K38)</f>
        <v>0</v>
      </c>
      <c r="G24" s="328">
        <f>IF(OR('Define Route'!$C24=0,'Define Route'!$C24=""),0,'Nodes Library'!L38)</f>
        <v>0</v>
      </c>
      <c r="H24" s="328">
        <f>IF(OR('Define Route'!$C24=0,'Define Route'!$C24=0),0,'Nodes Library'!U35)</f>
        <v>0</v>
      </c>
      <c r="I24" s="329">
        <f>IF(OR('Define Route'!$C24=0,'Define Route'!$C24=""),0,'Nodes Library'!V35)</f>
        <v>0</v>
      </c>
      <c r="J24" s="302"/>
      <c r="K24" s="182"/>
      <c r="L24" s="182"/>
      <c r="M24" s="182"/>
      <c r="N24" s="182"/>
      <c r="O24" s="240"/>
      <c r="P24" s="182"/>
      <c r="Q24" s="182"/>
      <c r="R24" s="182"/>
      <c r="S24" s="169"/>
      <c r="T24" s="169"/>
      <c r="U24" s="75"/>
      <c r="V24" s="75"/>
      <c r="W24" s="263"/>
      <c r="X24" s="263"/>
      <c r="Y24" s="263"/>
    </row>
    <row r="25" spans="2:25" ht="20.100000000000001" customHeight="1" thickBot="1" x14ac:dyDescent="0.35">
      <c r="B25" s="547" t="str">
        <f>IF('Nodes Library'!B39=0,"",'Nodes Library'!B39)</f>
        <v/>
      </c>
      <c r="C25" s="238"/>
      <c r="D25" s="239"/>
      <c r="E25" s="308"/>
      <c r="F25" s="327">
        <f>IF(OR('Define Route'!$C25=0,'Define Route'!$C25=""),0,'Nodes Library'!K39)</f>
        <v>0</v>
      </c>
      <c r="G25" s="328">
        <f>IF(OR('Define Route'!$C25=0,'Define Route'!$C25=""),0,'Nodes Library'!L39)</f>
        <v>0</v>
      </c>
      <c r="H25" s="328">
        <f>IF(OR('Define Route'!$C25=0,'Define Route'!$C25=0),0,'Nodes Library'!U36)</f>
        <v>0</v>
      </c>
      <c r="I25" s="329">
        <f>IF(OR('Define Route'!$C25=0,'Define Route'!$C25=""),0,'Nodes Library'!V36)</f>
        <v>0</v>
      </c>
      <c r="J25" s="302"/>
      <c r="K25" s="182"/>
      <c r="L25" s="182"/>
      <c r="M25" s="182"/>
      <c r="N25" s="182"/>
      <c r="O25" s="182"/>
      <c r="P25" s="182"/>
      <c r="Q25" s="182"/>
      <c r="R25" s="182"/>
      <c r="S25" s="169"/>
      <c r="T25" s="169"/>
      <c r="U25" s="75"/>
      <c r="V25" s="75"/>
      <c r="W25" s="263"/>
      <c r="X25" s="263"/>
      <c r="Y25" s="263"/>
    </row>
    <row r="26" spans="2:25" ht="20.100000000000001" customHeight="1" thickBot="1" x14ac:dyDescent="0.35">
      <c r="B26" s="551" t="str">
        <f>IF('Nodes Library'!B40=0,"",'Nodes Library'!B40)</f>
        <v/>
      </c>
      <c r="C26" s="552"/>
      <c r="D26" s="553"/>
      <c r="E26" s="308"/>
      <c r="F26" s="330">
        <f>IF(OR('Define Route'!$C26=0,'Define Route'!$C26=""),0,'Nodes Library'!K40)</f>
        <v>0</v>
      </c>
      <c r="G26" s="331">
        <f>IF(OR('Define Route'!$C26=0,'Define Route'!$C26=""),0,'Nodes Library'!L40)</f>
        <v>0</v>
      </c>
      <c r="H26" s="331">
        <f>IF(OR('Define Route'!$C26=0,'Define Route'!$C26=0),0,'Nodes Library'!U37)</f>
        <v>0</v>
      </c>
      <c r="I26" s="332">
        <f>IF(OR('Define Route'!$C26=0,'Define Route'!$C26=""),0,'Nodes Library'!V37)</f>
        <v>0</v>
      </c>
      <c r="J26" s="302"/>
      <c r="K26" s="302"/>
      <c r="L26" s="182"/>
      <c r="M26" s="182"/>
      <c r="N26" s="182"/>
      <c r="O26" s="182"/>
      <c r="P26" s="182"/>
      <c r="Q26" s="182"/>
      <c r="R26" s="182"/>
      <c r="S26" s="169"/>
      <c r="T26" s="169"/>
      <c r="U26" s="75"/>
      <c r="V26" s="75"/>
      <c r="W26" s="263"/>
      <c r="X26" s="263"/>
      <c r="Y26" s="263"/>
    </row>
    <row r="27" spans="2:25" ht="15.6" thickTop="1" thickBot="1" x14ac:dyDescent="0.35">
      <c r="B27" s="550"/>
      <c r="C27" s="218"/>
      <c r="D27" s="182"/>
      <c r="E27" s="240"/>
      <c r="F27" s="241"/>
      <c r="G27" s="242"/>
      <c r="H27" s="241"/>
      <c r="I27" s="241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262"/>
      <c r="U27" s="263"/>
      <c r="V27" s="263"/>
      <c r="W27" s="263"/>
      <c r="X27" s="263"/>
      <c r="Y27" s="263"/>
    </row>
    <row r="28" spans="2:25" ht="24.9" customHeight="1" thickBot="1" x14ac:dyDescent="0.35">
      <c r="B28" s="218"/>
      <c r="C28" s="218"/>
      <c r="D28" s="746" t="s">
        <v>32</v>
      </c>
      <c r="E28" s="746"/>
      <c r="F28" s="746"/>
      <c r="G28" s="746"/>
      <c r="H28" s="243">
        <v>2</v>
      </c>
      <c r="I28" s="244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3"/>
      <c r="V28" s="263"/>
      <c r="W28" s="263"/>
      <c r="X28" s="263"/>
      <c r="Y28" s="263"/>
    </row>
    <row r="29" spans="2:25" x14ac:dyDescent="0.3"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</row>
    <row r="30" spans="2:25" x14ac:dyDescent="0.3"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</row>
    <row r="31" spans="2:25" x14ac:dyDescent="0.3"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</row>
    <row r="32" spans="2:25" x14ac:dyDescent="0.3"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</row>
    <row r="34" spans="7:7" x14ac:dyDescent="0.3">
      <c r="G34" s="2"/>
    </row>
    <row r="35" spans="7:7" x14ac:dyDescent="0.3">
      <c r="G35" s="2"/>
    </row>
  </sheetData>
  <sheetProtection algorithmName="SHA-512" hashValue="W7WFrDpexzfR802RwwVokhJ3p5HznbZS7ENdIH4Fv3ownkYszvQwG9r2DlRp2HOgkmGblUnPexCOYeam+Gu3QA==" saltValue="UkyKMf1sZcyDRV/i1YTOlA==" spinCount="100000" sheet="1" formatCells="0" formatColumns="0" formatRows="0" insertColumns="0" insertRows="0" insertHyperlinks="0" deleteColumns="0" deleteRows="0" selectLockedCells="1" sort="0" autoFilter="0" pivotTables="0"/>
  <mergeCells count="11">
    <mergeCell ref="B1:F1"/>
    <mergeCell ref="N11:O11"/>
    <mergeCell ref="D28:G28"/>
    <mergeCell ref="G3:H3"/>
    <mergeCell ref="K2:L3"/>
    <mergeCell ref="K11:L11"/>
    <mergeCell ref="K7:L8"/>
    <mergeCell ref="K15:L16"/>
    <mergeCell ref="B3:C3"/>
    <mergeCell ref="F11:I11"/>
    <mergeCell ref="B11:D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B1:U15"/>
  <sheetViews>
    <sheetView showGridLines="0" zoomScale="125" zoomScaleNormal="125" workbookViewId="0">
      <selection activeCell="B5" sqref="B5"/>
    </sheetView>
  </sheetViews>
  <sheetFormatPr defaultRowHeight="14.4" x14ac:dyDescent="0.3"/>
  <cols>
    <col min="1" max="1" width="2.33203125" customWidth="1"/>
    <col min="2" max="2" width="28.33203125" customWidth="1"/>
    <col min="3" max="3" width="13.6640625" customWidth="1"/>
    <col min="4" max="4" width="13.6640625" style="1" customWidth="1"/>
    <col min="5" max="5" width="17.5546875" customWidth="1"/>
    <col min="6" max="6" width="17.44140625" customWidth="1"/>
    <col min="7" max="7" width="15.88671875" customWidth="1"/>
    <col min="8" max="8" width="3.44140625" customWidth="1"/>
    <col min="9" max="9" width="18.88671875" customWidth="1"/>
    <col min="10" max="10" width="19.6640625" customWidth="1"/>
    <col min="11" max="11" width="17.44140625" customWidth="1"/>
  </cols>
  <sheetData>
    <row r="1" spans="2:21" ht="39.9" customHeight="1" x14ac:dyDescent="0.3">
      <c r="B1" s="731" t="s">
        <v>31</v>
      </c>
      <c r="C1" s="731"/>
      <c r="D1" s="731"/>
      <c r="E1" s="731"/>
      <c r="F1" s="21"/>
      <c r="G1" s="21"/>
      <c r="H1" s="21"/>
      <c r="I1" s="21"/>
      <c r="J1" s="21"/>
      <c r="K1" s="21"/>
    </row>
    <row r="2" spans="2:21" ht="15" thickBot="1" x14ac:dyDescent="0.35">
      <c r="B2" s="20"/>
      <c r="C2" s="20"/>
      <c r="D2" s="20"/>
      <c r="E2" s="20"/>
      <c r="F2" s="20"/>
      <c r="G2" s="20"/>
    </row>
    <row r="3" spans="2:21" ht="24.9" customHeight="1" thickBot="1" x14ac:dyDescent="0.35">
      <c r="B3" s="755" t="s">
        <v>20</v>
      </c>
      <c r="C3" s="755"/>
      <c r="D3" s="755"/>
      <c r="E3" s="755"/>
      <c r="F3" s="755"/>
      <c r="G3" s="755"/>
      <c r="H3" s="263"/>
      <c r="I3" s="742" t="s">
        <v>33</v>
      </c>
      <c r="J3" s="754"/>
      <c r="K3" s="754"/>
      <c r="L3" s="263"/>
      <c r="M3" s="263"/>
      <c r="N3" s="263"/>
      <c r="O3" s="263"/>
      <c r="P3" s="263"/>
      <c r="Q3" s="263"/>
      <c r="R3" s="75"/>
      <c r="S3" s="75"/>
      <c r="T3" s="75"/>
      <c r="U3" s="75"/>
    </row>
    <row r="4" spans="2:21" ht="44.4" thickTop="1" thickBot="1" x14ac:dyDescent="0.35">
      <c r="B4" s="101" t="s">
        <v>16</v>
      </c>
      <c r="C4" s="195" t="s">
        <v>11</v>
      </c>
      <c r="D4" s="195" t="s">
        <v>12</v>
      </c>
      <c r="E4" s="105" t="s">
        <v>14</v>
      </c>
      <c r="F4" s="105" t="s">
        <v>13</v>
      </c>
      <c r="G4" s="196" t="s">
        <v>15</v>
      </c>
      <c r="H4" s="263"/>
      <c r="I4" s="366" t="s">
        <v>34</v>
      </c>
      <c r="J4" s="343" t="s">
        <v>114</v>
      </c>
      <c r="K4" s="343" t="s">
        <v>113</v>
      </c>
      <c r="L4" s="263"/>
      <c r="M4" s="263"/>
      <c r="N4" s="263"/>
      <c r="O4" s="263"/>
      <c r="P4" s="263"/>
      <c r="Q4" s="263"/>
      <c r="R4" s="75"/>
      <c r="S4" s="75"/>
      <c r="T4" s="75"/>
      <c r="U4" s="75"/>
    </row>
    <row r="5" spans="2:21" ht="20.100000000000001" customHeight="1" thickTop="1" thickBot="1" x14ac:dyDescent="0.35">
      <c r="B5" s="491" t="s">
        <v>320</v>
      </c>
      <c r="C5" s="197">
        <v>2</v>
      </c>
      <c r="D5" s="198">
        <v>12</v>
      </c>
      <c r="E5" s="198">
        <v>2</v>
      </c>
      <c r="F5" s="198">
        <v>2</v>
      </c>
      <c r="G5" s="199"/>
      <c r="H5" s="263"/>
      <c r="I5" s="333">
        <f>IF(OR(Table1391112715[[#This Row],[  Number of
Lanes ('#)]]=0,Table1391112715[[#This Row],[  Number of
Lanes ('#)]]=""),0,Table1391112715[[#This Row],[  Number of
Lanes ('#)]]*Table1391112715[[#This Row],[Lane Width
(ft)]]+Table1391112715[[#This Row],[Right Shoulder Clearing Width
(ft)]]+Table1391112715[[#This Row],[Left Shoulder Clearing Width
(ft)]])</f>
        <v>28</v>
      </c>
      <c r="J5" s="333">
        <f>IF(OR(Table1391112715[[#This Row],[  Number of
Lanes ('#)]]=0,Table1391112715[[#This Row],[  Number of
Lanes ('#)]]=""),0,ABS(I5-K5))</f>
        <v>28</v>
      </c>
      <c r="K5" s="333">
        <f>IF(OR(Table1391112715[[#This Row],[Number of
Lanes Cleared
to the Left ('#)]]="",Table1391112715[[#This Row],[Number of
Lanes Cleared
to the Left ('#)]]=0),0,(Table1391112715[[#This Row],[Number of
Lanes Cleared
to the Left ('#)]]*Table1391112715[[#This Row],[Lane Width
(ft)]]+Table1391112715[[#This Row],[Left Shoulder Clearing Width
(ft)]]))+IF(AND(Table1391112715[[#This Row],[Number of
Lanes Cleared
to the Left ('#)]]=Table1391112715[[#This Row],[  Number of
Lanes ('#)]],Table1391112715[[#This Row],[  Number of
Lanes ('#)]]&lt;&gt;0),Table1391112715[[#This Row],[Right Shoulder Clearing Width
(ft)]],0)-IF(AND(Table1391112715[[#This Row],[  Number of
Lanes ('#)]]=0,Table1391112715[[#This Row],[Number of
Lanes Cleared
to the Left ('#)]]&lt;&gt;0),(Table1391112715[[#This Row],[Lane Width
(ft)]]*Table1391112715[[#This Row],[Number of
Lanes Cleared
to the Left ('#)]])+Table1391112715[[#This Row],[Left Shoulder Clearing Width
(ft)]],0)</f>
        <v>0</v>
      </c>
      <c r="L5" s="263"/>
      <c r="M5" s="263"/>
      <c r="N5" s="263"/>
      <c r="O5" s="263"/>
      <c r="P5" s="263"/>
      <c r="Q5" s="263"/>
      <c r="R5" s="75"/>
      <c r="S5" s="75"/>
      <c r="T5" s="75"/>
      <c r="U5" s="75"/>
    </row>
    <row r="6" spans="2:21" ht="20.100000000000001" customHeight="1" thickBot="1" x14ac:dyDescent="0.35">
      <c r="B6" s="135" t="s">
        <v>253</v>
      </c>
      <c r="C6" s="189">
        <v>2</v>
      </c>
      <c r="D6" s="190">
        <v>10</v>
      </c>
      <c r="E6" s="190">
        <v>1</v>
      </c>
      <c r="F6" s="190">
        <v>1</v>
      </c>
      <c r="G6" s="193">
        <v>2</v>
      </c>
      <c r="H6" s="263"/>
      <c r="I6" s="333">
        <f>IF(OR(Table1391112715[[#This Row],[  Number of
Lanes ('#)]]=0,Table1391112715[[#This Row],[  Number of
Lanes ('#)]]=""),0,Table1391112715[[#This Row],[  Number of
Lanes ('#)]]*Table1391112715[[#This Row],[Lane Width
(ft)]]+Table1391112715[[#This Row],[Right Shoulder Clearing Width
(ft)]]+Table1391112715[[#This Row],[Left Shoulder Clearing Width
(ft)]])</f>
        <v>22</v>
      </c>
      <c r="J6" s="333">
        <f>IF(OR(Table1391112715[[#This Row],[  Number of
Lanes ('#)]]=0,Table1391112715[[#This Row],[  Number of
Lanes ('#)]]=""),0,ABS(I6-K6))</f>
        <v>0</v>
      </c>
      <c r="K6" s="333">
        <f>IF(OR(Table1391112715[[#This Row],[Number of
Lanes Cleared
to the Left ('#)]]="",Table1391112715[[#This Row],[Number of
Lanes Cleared
to the Left ('#)]]=0),0,(Table1391112715[[#This Row],[Number of
Lanes Cleared
to the Left ('#)]]*Table1391112715[[#This Row],[Lane Width
(ft)]]+Table1391112715[[#This Row],[Left Shoulder Clearing Width
(ft)]]))+IF(AND(Table1391112715[[#This Row],[Number of
Lanes Cleared
to the Left ('#)]]=Table1391112715[[#This Row],[  Number of
Lanes ('#)]],Table1391112715[[#This Row],[  Number of
Lanes ('#)]]&lt;&gt;0),Table1391112715[[#This Row],[Right Shoulder Clearing Width
(ft)]],0)-IF(AND(Table1391112715[[#This Row],[  Number of
Lanes ('#)]]=0,Table1391112715[[#This Row],[Number of
Lanes Cleared
to the Left ('#)]]&lt;&gt;0),(Table1391112715[[#This Row],[Lane Width
(ft)]]*Table1391112715[[#This Row],[Number of
Lanes Cleared
to the Left ('#)]])+Table1391112715[[#This Row],[Left Shoulder Clearing Width
(ft)]],0)</f>
        <v>22</v>
      </c>
      <c r="L6" s="264"/>
      <c r="M6" s="263"/>
      <c r="N6" s="263"/>
      <c r="O6" s="263"/>
      <c r="P6" s="263"/>
      <c r="Q6" s="263"/>
      <c r="R6" s="75"/>
      <c r="S6" s="75"/>
      <c r="T6" s="75"/>
      <c r="U6" s="75"/>
    </row>
    <row r="7" spans="2:21" ht="20.100000000000001" customHeight="1" thickBot="1" x14ac:dyDescent="0.35">
      <c r="B7" s="492" t="s">
        <v>239</v>
      </c>
      <c r="C7" s="200">
        <v>3</v>
      </c>
      <c r="D7" s="201">
        <v>12</v>
      </c>
      <c r="E7" s="201">
        <v>2</v>
      </c>
      <c r="F7" s="201">
        <v>1</v>
      </c>
      <c r="G7" s="202"/>
      <c r="H7" s="263"/>
      <c r="I7" s="333">
        <f>IF(OR(Table1391112715[[#This Row],[  Number of
Lanes ('#)]]=0,Table1391112715[[#This Row],[  Number of
Lanes ('#)]]=""),0,Table1391112715[[#This Row],[  Number of
Lanes ('#)]]*Table1391112715[[#This Row],[Lane Width
(ft)]]+Table1391112715[[#This Row],[Right Shoulder Clearing Width
(ft)]]+Table1391112715[[#This Row],[Left Shoulder Clearing Width
(ft)]])</f>
        <v>39</v>
      </c>
      <c r="J7" s="333">
        <f>IF(OR(Table1391112715[[#This Row],[  Number of
Lanes ('#)]]=0,Table1391112715[[#This Row],[  Number of
Lanes ('#)]]=""),0,ABS(I7-K7))</f>
        <v>39</v>
      </c>
      <c r="K7" s="333">
        <f>IF(OR(Table1391112715[[#This Row],[Number of
Lanes Cleared
to the Left ('#)]]="",Table1391112715[[#This Row],[Number of
Lanes Cleared
to the Left ('#)]]=0),0,(Table1391112715[[#This Row],[Number of
Lanes Cleared
to the Left ('#)]]*Table1391112715[[#This Row],[Lane Width
(ft)]]+Table1391112715[[#This Row],[Left Shoulder Clearing Width
(ft)]]))+IF(AND(Table1391112715[[#This Row],[Number of
Lanes Cleared
to the Left ('#)]]=Table1391112715[[#This Row],[  Number of
Lanes ('#)]],Table1391112715[[#This Row],[  Number of
Lanes ('#)]]&lt;&gt;0),Table1391112715[[#This Row],[Right Shoulder Clearing Width
(ft)]],0)-IF(AND(Table1391112715[[#This Row],[  Number of
Lanes ('#)]]=0,Table1391112715[[#This Row],[Number of
Lanes Cleared
to the Left ('#)]]&lt;&gt;0),(Table1391112715[[#This Row],[Lane Width
(ft)]]*Table1391112715[[#This Row],[Number of
Lanes Cleared
to the Left ('#)]])+Table1391112715[[#This Row],[Left Shoulder Clearing Width
(ft)]],0)</f>
        <v>0</v>
      </c>
      <c r="L7" s="264"/>
      <c r="M7" s="263"/>
      <c r="N7" s="263"/>
      <c r="O7" s="263"/>
      <c r="P7" s="263"/>
      <c r="Q7" s="263"/>
      <c r="R7" s="75"/>
      <c r="S7" s="75"/>
      <c r="T7" s="75"/>
      <c r="U7" s="75"/>
    </row>
    <row r="8" spans="2:21" ht="20.100000000000001" customHeight="1" thickBot="1" x14ac:dyDescent="0.35">
      <c r="B8" s="135" t="s">
        <v>240</v>
      </c>
      <c r="C8" s="189">
        <v>2</v>
      </c>
      <c r="D8" s="190">
        <v>12</v>
      </c>
      <c r="E8" s="190">
        <v>2</v>
      </c>
      <c r="F8" s="190">
        <v>2</v>
      </c>
      <c r="G8" s="193">
        <v>1</v>
      </c>
      <c r="H8" s="263"/>
      <c r="I8" s="333">
        <f>IF(OR(Table1391112715[[#This Row],[  Number of
Lanes ('#)]]=0,Table1391112715[[#This Row],[  Number of
Lanes ('#)]]=""),0,Table1391112715[[#This Row],[  Number of
Lanes ('#)]]*Table1391112715[[#This Row],[Lane Width
(ft)]]+Table1391112715[[#This Row],[Right Shoulder Clearing Width
(ft)]]+Table1391112715[[#This Row],[Left Shoulder Clearing Width
(ft)]])</f>
        <v>28</v>
      </c>
      <c r="J8" s="333">
        <f>IF(OR(Table1391112715[[#This Row],[  Number of
Lanes ('#)]]=0,Table1391112715[[#This Row],[  Number of
Lanes ('#)]]=""),0,ABS(I8-K8))</f>
        <v>14</v>
      </c>
      <c r="K8" s="333">
        <f>IF(OR(Table1391112715[[#This Row],[Number of
Lanes Cleared
to the Left ('#)]]="",Table1391112715[[#This Row],[Number of
Lanes Cleared
to the Left ('#)]]=0),0,(Table1391112715[[#This Row],[Number of
Lanes Cleared
to the Left ('#)]]*Table1391112715[[#This Row],[Lane Width
(ft)]]+Table1391112715[[#This Row],[Left Shoulder Clearing Width
(ft)]]))+IF(AND(Table1391112715[[#This Row],[Number of
Lanes Cleared
to the Left ('#)]]=Table1391112715[[#This Row],[  Number of
Lanes ('#)]],Table1391112715[[#This Row],[  Number of
Lanes ('#)]]&lt;&gt;0),Table1391112715[[#This Row],[Right Shoulder Clearing Width
(ft)]],0)-IF(AND(Table1391112715[[#This Row],[  Number of
Lanes ('#)]]=0,Table1391112715[[#This Row],[Number of
Lanes Cleared
to the Left ('#)]]&lt;&gt;0),(Table1391112715[[#This Row],[Lane Width
(ft)]]*Table1391112715[[#This Row],[Number of
Lanes Cleared
to the Left ('#)]])+Table1391112715[[#This Row],[Left Shoulder Clearing Width
(ft)]],0)</f>
        <v>14</v>
      </c>
      <c r="L8" s="264"/>
      <c r="M8" s="263"/>
      <c r="N8" s="263"/>
      <c r="O8" s="263"/>
      <c r="P8" s="263"/>
      <c r="Q8" s="263"/>
      <c r="R8" s="75"/>
      <c r="S8" s="75"/>
      <c r="T8" s="75"/>
      <c r="U8" s="75"/>
    </row>
    <row r="9" spans="2:21" ht="20.100000000000001" customHeight="1" thickBot="1" x14ac:dyDescent="0.35">
      <c r="B9" s="492" t="s">
        <v>243</v>
      </c>
      <c r="C9" s="201">
        <v>2</v>
      </c>
      <c r="D9" s="201">
        <v>12</v>
      </c>
      <c r="E9" s="201">
        <v>10</v>
      </c>
      <c r="F9" s="201">
        <v>1</v>
      </c>
      <c r="G9" s="202"/>
      <c r="H9" s="263"/>
      <c r="I9" s="333">
        <f>IF(OR(Table1391112715[[#This Row],[  Number of
Lanes ('#)]]=0,Table1391112715[[#This Row],[  Number of
Lanes ('#)]]=""),0,Table1391112715[[#This Row],[  Number of
Lanes ('#)]]*Table1391112715[[#This Row],[Lane Width
(ft)]]+Table1391112715[[#This Row],[Right Shoulder Clearing Width
(ft)]]+Table1391112715[[#This Row],[Left Shoulder Clearing Width
(ft)]])</f>
        <v>35</v>
      </c>
      <c r="J9" s="333">
        <f>IF(OR(Table1391112715[[#This Row],[  Number of
Lanes ('#)]]=0,Table1391112715[[#This Row],[  Number of
Lanes ('#)]]=""),0,ABS(I9-K9))</f>
        <v>35</v>
      </c>
      <c r="K9" s="333">
        <f>IF(OR(Table1391112715[[#This Row],[Number of
Lanes Cleared
to the Left ('#)]]="",Table1391112715[[#This Row],[Number of
Lanes Cleared
to the Left ('#)]]=0),0,(Table1391112715[[#This Row],[Number of
Lanes Cleared
to the Left ('#)]]*Table1391112715[[#This Row],[Lane Width
(ft)]]+Table1391112715[[#This Row],[Left Shoulder Clearing Width
(ft)]]))+IF(AND(Table1391112715[[#This Row],[Number of
Lanes Cleared
to the Left ('#)]]=Table1391112715[[#This Row],[  Number of
Lanes ('#)]],Table1391112715[[#This Row],[  Number of
Lanes ('#)]]&lt;&gt;0),Table1391112715[[#This Row],[Right Shoulder Clearing Width
(ft)]],0)-IF(AND(Table1391112715[[#This Row],[  Number of
Lanes ('#)]]=0,Table1391112715[[#This Row],[Number of
Lanes Cleared
to the Left ('#)]]&lt;&gt;0),(Table1391112715[[#This Row],[Lane Width
(ft)]]*Table1391112715[[#This Row],[Number of
Lanes Cleared
to the Left ('#)]])+Table1391112715[[#This Row],[Left Shoulder Clearing Width
(ft)]],0)</f>
        <v>0</v>
      </c>
      <c r="L9" s="264"/>
      <c r="M9" s="263"/>
      <c r="N9" s="263"/>
      <c r="O9" s="263"/>
      <c r="P9" s="263"/>
      <c r="Q9" s="263"/>
      <c r="R9" s="75"/>
      <c r="S9" s="75"/>
      <c r="T9" s="75"/>
      <c r="U9" s="75"/>
    </row>
    <row r="10" spans="2:21" ht="15" thickBot="1" x14ac:dyDescent="0.35">
      <c r="H10" s="263"/>
      <c r="I10" s="367"/>
      <c r="J10" s="367"/>
      <c r="K10" s="367"/>
      <c r="L10" s="263"/>
      <c r="M10" s="263"/>
      <c r="N10" s="263"/>
      <c r="O10" s="263"/>
      <c r="P10" s="263"/>
      <c r="Q10" s="263"/>
      <c r="R10" s="75"/>
      <c r="S10" s="75"/>
      <c r="T10" s="75"/>
      <c r="U10" s="75"/>
    </row>
    <row r="11" spans="2:21" ht="39" customHeight="1" thickBot="1" x14ac:dyDescent="0.35">
      <c r="B11" s="2"/>
      <c r="C11" s="753" t="s">
        <v>83</v>
      </c>
      <c r="D11" s="753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</row>
    <row r="12" spans="2:21" ht="35.1" customHeight="1" thickBot="1" x14ac:dyDescent="0.35">
      <c r="B12" s="73"/>
      <c r="C12" s="72" t="s">
        <v>81</v>
      </c>
      <c r="D12" s="72" t="s">
        <v>82</v>
      </c>
      <c r="F12" s="33"/>
    </row>
    <row r="13" spans="2:21" ht="30" customHeight="1" thickBot="1" x14ac:dyDescent="0.35">
      <c r="B13" s="49"/>
      <c r="C13" s="71">
        <f>LARGE(I6:I10,1)</f>
        <v>39</v>
      </c>
      <c r="D13" s="71">
        <f>LARGE(K5:K9,1)</f>
        <v>22</v>
      </c>
    </row>
    <row r="14" spans="2:21" ht="20.100000000000001" customHeight="1" x14ac:dyDescent="0.3">
      <c r="B14" s="49"/>
      <c r="C14" s="49"/>
      <c r="D14" s="48"/>
    </row>
    <row r="15" spans="2:21" ht="20.100000000000001" customHeight="1" x14ac:dyDescent="0.3">
      <c r="B15" s="2"/>
      <c r="C15" s="2"/>
      <c r="D15" s="2"/>
      <c r="E15" s="2"/>
    </row>
  </sheetData>
  <sheetProtection algorithmName="SHA-512" hashValue="XU2YwLo80sBLt0K6Wq9BkwMHgyDgDvu65eJ1Eq84vGr3YqQ+3Nn0W3W8GAZ/b4enfMZ7cW/ZhuTJWMYbqpKRqQ==" saltValue="MDm2dR0SAfSTeoP/9NM4hw==" spinCount="100000" sheet="1" formatCells="0" formatColumns="0" formatRows="0" insertColumns="0" insertRows="0" insertHyperlinks="0" deleteColumns="0" deleteRows="0" selectLockedCells="1" sort="0" autoFilter="0" pivotTables="0"/>
  <mergeCells count="4">
    <mergeCell ref="B1:E1"/>
    <mergeCell ref="C11:D11"/>
    <mergeCell ref="I3:K3"/>
    <mergeCell ref="B3:G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B1:AG63"/>
  <sheetViews>
    <sheetView showGridLines="0" topLeftCell="A16" zoomScale="90" zoomScaleNormal="90" workbookViewId="0">
      <selection activeCell="B32" sqref="B32"/>
    </sheetView>
  </sheetViews>
  <sheetFormatPr defaultRowHeight="14.4" x14ac:dyDescent="0.3"/>
  <cols>
    <col min="1" max="1" width="2.33203125" customWidth="1"/>
    <col min="2" max="2" width="27.88671875" customWidth="1"/>
    <col min="3" max="3" width="11.5546875" customWidth="1"/>
    <col min="4" max="4" width="12.33203125" customWidth="1"/>
    <col min="5" max="5" width="16.109375" customWidth="1"/>
    <col min="6" max="7" width="17.6640625" customWidth="1"/>
    <col min="8" max="8" width="16.33203125" customWidth="1"/>
    <col min="9" max="9" width="16.5546875" style="1" customWidth="1"/>
    <col min="10" max="10" width="17.6640625" style="1" customWidth="1"/>
    <col min="11" max="11" width="15.5546875" style="1" customWidth="1"/>
    <col min="12" max="13" width="16.5546875" style="1" customWidth="1"/>
    <col min="14" max="14" width="15.44140625" style="1" customWidth="1"/>
    <col min="15" max="15" width="16.5546875" style="1" customWidth="1"/>
    <col min="16" max="16" width="2.33203125" customWidth="1"/>
    <col min="17" max="17" width="14.44140625" customWidth="1"/>
    <col min="18" max="18" width="15.33203125" style="1" customWidth="1"/>
    <col min="19" max="19" width="16.5546875" customWidth="1"/>
    <col min="20" max="20" width="16" customWidth="1"/>
    <col min="21" max="21" width="15.33203125" customWidth="1"/>
    <col min="22" max="22" width="15.109375" style="1" customWidth="1"/>
    <col min="23" max="23" width="3.109375" style="1" customWidth="1"/>
    <col min="24" max="25" width="15.6640625" customWidth="1"/>
    <col min="26" max="26" width="1.6640625" customWidth="1"/>
    <col min="27" max="28" width="15.6640625" customWidth="1"/>
  </cols>
  <sheetData>
    <row r="1" spans="2:33" s="20" customFormat="1" ht="39.9" customHeight="1" x14ac:dyDescent="0.3">
      <c r="B1" s="731" t="s">
        <v>87</v>
      </c>
      <c r="C1" s="731"/>
      <c r="D1" s="731"/>
      <c r="E1" s="731"/>
      <c r="F1" s="45"/>
      <c r="G1" s="45"/>
      <c r="H1" s="45"/>
      <c r="I1" s="45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2:33" s="1" customFormat="1" ht="15" thickBot="1" x14ac:dyDescent="0.35"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263"/>
      <c r="AF2" s="263"/>
      <c r="AG2" s="263"/>
    </row>
    <row r="3" spans="2:33" s="1" customFormat="1" ht="24.9" customHeight="1" thickBot="1" x14ac:dyDescent="0.35">
      <c r="B3" s="760" t="s">
        <v>95</v>
      </c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Q3" s="742" t="s">
        <v>44</v>
      </c>
      <c r="R3" s="742"/>
      <c r="S3" s="742"/>
      <c r="T3" s="742"/>
      <c r="U3" s="742"/>
      <c r="V3" s="742"/>
      <c r="W3" s="303"/>
      <c r="X3" s="742" t="s">
        <v>78</v>
      </c>
      <c r="Y3" s="742"/>
      <c r="Z3" s="742"/>
      <c r="AA3" s="742"/>
      <c r="AB3" s="742"/>
      <c r="AC3" s="182"/>
      <c r="AD3" s="182"/>
      <c r="AE3" s="75"/>
      <c r="AF3" s="263"/>
      <c r="AG3" s="263"/>
    </row>
    <row r="4" spans="2:33" s="1" customFormat="1" ht="44.4" thickTop="1" thickBot="1" x14ac:dyDescent="0.35">
      <c r="B4" s="5" t="s">
        <v>38</v>
      </c>
      <c r="C4" s="32" t="s">
        <v>88</v>
      </c>
      <c r="D4" s="37" t="s">
        <v>41</v>
      </c>
      <c r="E4" s="38" t="s">
        <v>39</v>
      </c>
      <c r="F4" s="5" t="s">
        <v>29</v>
      </c>
      <c r="G4" s="35" t="s">
        <v>42</v>
      </c>
      <c r="H4" s="34" t="s">
        <v>43</v>
      </c>
      <c r="I4" s="5" t="s">
        <v>17</v>
      </c>
      <c r="J4" s="35" t="s">
        <v>110</v>
      </c>
      <c r="K4" s="35" t="s">
        <v>102</v>
      </c>
      <c r="L4" s="35" t="s">
        <v>105</v>
      </c>
      <c r="M4" s="35" t="s">
        <v>103</v>
      </c>
      <c r="N4" s="36" t="s">
        <v>104</v>
      </c>
      <c r="O4" s="35" t="s">
        <v>50</v>
      </c>
      <c r="Q4" s="318" t="s">
        <v>108</v>
      </c>
      <c r="R4" s="318" t="s">
        <v>106</v>
      </c>
      <c r="S4" s="318" t="s">
        <v>107</v>
      </c>
      <c r="T4" s="318" t="s">
        <v>109</v>
      </c>
      <c r="U4" s="318" t="s">
        <v>100</v>
      </c>
      <c r="V4" s="318" t="s">
        <v>101</v>
      </c>
      <c r="W4" s="182"/>
      <c r="X4" s="256" t="s">
        <v>64</v>
      </c>
      <c r="Y4" s="256" t="s">
        <v>65</v>
      </c>
      <c r="Z4" s="247"/>
      <c r="AA4" s="256" t="s">
        <v>68</v>
      </c>
      <c r="AB4" s="256" t="s">
        <v>69</v>
      </c>
      <c r="AC4" s="182"/>
      <c r="AD4" s="182"/>
      <c r="AE4" s="75"/>
      <c r="AF4" s="263"/>
      <c r="AG4" s="263"/>
    </row>
    <row r="5" spans="2:33" s="1" customFormat="1" ht="16.5" customHeight="1" thickTop="1" thickBot="1" x14ac:dyDescent="0.35">
      <c r="B5" s="493" t="s">
        <v>241</v>
      </c>
      <c r="C5" s="495">
        <v>2</v>
      </c>
      <c r="D5" s="496">
        <v>2</v>
      </c>
      <c r="E5" s="496">
        <v>2</v>
      </c>
      <c r="F5" s="497">
        <v>12</v>
      </c>
      <c r="G5" s="497">
        <v>2</v>
      </c>
      <c r="H5" s="497">
        <v>2</v>
      </c>
      <c r="I5" s="495"/>
      <c r="J5" s="505"/>
      <c r="K5" s="506"/>
      <c r="L5" s="506"/>
      <c r="M5" s="506"/>
      <c r="N5" s="505"/>
      <c r="O5" s="507"/>
      <c r="P5" s="7"/>
      <c r="Q5" s="333">
        <f>(LARGE(Table139111271513814[[#This Row],[ Number of
Beginning Lanes]]:Table139111271513814[[#This Row],[ Number of
Ending Lanes]],1))*Table139111271513814[[#This Row],[Through Lane(s) Width (ft)]]+Table139111271513814[[#This Row],[Right Through
 Shoulder Clear Width (ft)]]+Table139111271513814[[#This Row],[Left Through
 Shoulder Clear
Width (ft)]]</f>
        <v>28</v>
      </c>
      <c r="R5" s="333">
        <f>(LARGE(Table139111271513814[[#This Row],[ Number of
Beginning Lanes]]:Table139111271513814[[#This Row],[ Number of
Ending Lanes]],1)-Table139111271513814[[#This Row],[Number Through Lanes Cleared Left]])*Table139111271513814[[#This Row],[Through Lane(s) Width (ft)]]+IF(OR(Table139111271513814[[#This Row],[Number Through Lanes Cleared Left]]=0,Table139111271513814[[#This Row],[Number Through Lanes Cleared Left]]=""),Table139111271513814[[#This Row],[Right Through
 Shoulder Clear Width (ft)]]+Table139111271513814[[#This Row],[Left Through
 Shoulder Clear
Width (ft)]],0)+IF(AND(LARGE(Table139111271513814[[#This Row],[ Number of
Beginning Lanes]]:Table139111271513814[[#This Row],[ Number of
Ending Lanes]],1)&gt;Table139111271513814[[#This Row],[Number Through Lanes Cleared Left]],Table139111271513814[[#This Row],[Number Through Lanes Cleared Left]]&gt;0),Table139111271513814[[#This Row],[Right Through
 Shoulder Clear Width (ft)]])</f>
        <v>28</v>
      </c>
      <c r="S5" s="333">
        <f>Q5-R5</f>
        <v>0</v>
      </c>
      <c r="T5" s="333">
        <f>Table139111271513814[[#This Row],[Number of
Diverge Lanes]]*Table139111271513814[[#This Row],[Width of
Diverge Lanes
(ft)]]+Table139111271513814[[#This Row],[Right Diverge Shoulder Clear Width (ft)]]+Table139111271513814[[#This Row],[Left Diverge Shoulder Clear Width (ft)]]+Table139111271513814[[#This Row],[Windrow Mitigation Width (ft)]]</f>
        <v>0</v>
      </c>
      <c r="U5" s="333">
        <f>(Table139111271513814[[#This Row],[Number of
Diverge Lanes]]-Table139111271513814[[#This Row],[Number Diverge Lanes Cleared Left]])*Table139111271513814[[#This Row],[Width of
Diverge Lanes
(ft)]]+IF(OR(Table139111271513814[[#This Row],[Number Diverge Lanes Cleared Left]]=0,Table139111271513814[[#This Row],[Number Diverge Lanes Cleared Left]]=""),(Table139111271513814[[#This Row],[Right Diverge Shoulder Clear Width (ft)]]+Table139111271513814[[#This Row],[Left Diverge Shoulder Clear Width (ft)]])+Table139111271513814[[#This Row],[Windrow Mitigation Width (ft)]],0)+IF(AND(Table139111271513814[[#This Row],[Number of
Diverge Lanes]]&gt;Table139111271513814[[#This Row],[Number Diverge Lanes Cleared Left]],Table139111271513814[[#This Row],[Number Diverge Lanes Cleared Left]]&gt;0),Table139111271513814[[#This Row],[Right Diverge Shoulder Clear Width (ft)]]+Table139111271513814[[#This Row],[Windrow Mitigation Width (ft)]])</f>
        <v>0</v>
      </c>
      <c r="V5" s="333">
        <f>T5-U5</f>
        <v>0</v>
      </c>
      <c r="W5" s="182"/>
      <c r="X5" s="248">
        <f>LARGE(R5:R9,1)</f>
        <v>28</v>
      </c>
      <c r="Y5" s="248">
        <f>LARGE(S5:S9,1)</f>
        <v>15</v>
      </c>
      <c r="Z5" s="247"/>
      <c r="AA5" s="248">
        <f>LARGE(U5:U9,1)</f>
        <v>29</v>
      </c>
      <c r="AB5" s="248">
        <f>LARGE(V5:V9,1)</f>
        <v>17</v>
      </c>
      <c r="AC5" s="182"/>
      <c r="AD5" s="182"/>
      <c r="AE5" s="75"/>
      <c r="AF5" s="263"/>
      <c r="AG5" s="263"/>
    </row>
    <row r="6" spans="2:33" s="1" customFormat="1" ht="15.75" customHeight="1" thickBot="1" x14ac:dyDescent="0.35">
      <c r="B6" s="135" t="s">
        <v>242</v>
      </c>
      <c r="C6" s="189">
        <v>2</v>
      </c>
      <c r="D6" s="190">
        <v>2</v>
      </c>
      <c r="E6" s="190">
        <v>2</v>
      </c>
      <c r="F6" s="191">
        <v>12</v>
      </c>
      <c r="G6" s="191">
        <v>4</v>
      </c>
      <c r="H6" s="191">
        <v>2</v>
      </c>
      <c r="I6" s="192">
        <v>1</v>
      </c>
      <c r="J6" s="192">
        <v>2</v>
      </c>
      <c r="K6" s="191">
        <v>9</v>
      </c>
      <c r="L6" s="191">
        <v>0</v>
      </c>
      <c r="M6" s="191">
        <v>0</v>
      </c>
      <c r="N6" s="192">
        <v>1</v>
      </c>
      <c r="O6" s="194"/>
      <c r="Q6" s="333">
        <f>(LARGE(Table139111271513814[[#This Row],[ Number of
Beginning Lanes]]:Table139111271513814[[#This Row],[ Number of
Ending Lanes]],1))*Table139111271513814[[#This Row],[Through Lane(s) Width (ft)]]+Table139111271513814[[#This Row],[Right Through
 Shoulder Clear Width (ft)]]+Table139111271513814[[#This Row],[Left Through
 Shoulder Clear
Width (ft)]]</f>
        <v>30</v>
      </c>
      <c r="R6" s="333">
        <f>(LARGE(Table139111271513814[[#This Row],[ Number of
Beginning Lanes]]:Table139111271513814[[#This Row],[ Number of
Ending Lanes]],1)-Table139111271513814[[#This Row],[Number Through Lanes Cleared Left]])*Table139111271513814[[#This Row],[Through Lane(s) Width (ft)]]+IF(OR(Table139111271513814[[#This Row],[Number Through Lanes Cleared Left]]=0,Table139111271513814[[#This Row],[Number Through Lanes Cleared Left]]=""),Table139111271513814[[#This Row],[Right Through
 Shoulder Clear Width (ft)]]+Table139111271513814[[#This Row],[Left Through
 Shoulder Clear
Width (ft)]],0)+IF(AND(LARGE(Table139111271513814[[#This Row],[ Number of
Beginning Lanes]]:Table139111271513814[[#This Row],[ Number of
Ending Lanes]],1)&gt;Table139111271513814[[#This Row],[Number Through Lanes Cleared Left]],Table139111271513814[[#This Row],[Number Through Lanes Cleared Left]]&gt;0),Table139111271513814[[#This Row],[Right Through
 Shoulder Clear Width (ft)]])</f>
        <v>16</v>
      </c>
      <c r="S6" s="333">
        <f>Q6-R6</f>
        <v>14</v>
      </c>
      <c r="T6" s="333">
        <f>Table139111271513814[[#This Row],[Number of
Diverge Lanes]]*Table139111271513814[[#This Row],[Width of
Diverge Lanes
(ft)]]+Table139111271513814[[#This Row],[Right Diverge Shoulder Clear Width (ft)]]+Table139111271513814[[#This Row],[Left Diverge Shoulder Clear Width (ft)]]+Table139111271513814[[#This Row],[Windrow Mitigation Width (ft)]]</f>
        <v>18</v>
      </c>
      <c r="U6" s="333">
        <f>(Table139111271513814[[#This Row],[Number of
Diverge Lanes]]-Table139111271513814[[#This Row],[Number Diverge Lanes Cleared Left]])*Table139111271513814[[#This Row],[Width of
Diverge Lanes
(ft)]]+IF(OR(Table139111271513814[[#This Row],[Number Diverge Lanes Cleared Left]]=0,Table139111271513814[[#This Row],[Number Diverge Lanes Cleared Left]]=""),(Table139111271513814[[#This Row],[Right Diverge Shoulder Clear Width (ft)]]+Table139111271513814[[#This Row],[Left Diverge Shoulder Clear Width (ft)]])+Table139111271513814[[#This Row],[Windrow Mitigation Width (ft)]],0)+IF(AND(Table139111271513814[[#This Row],[Number of
Diverge Lanes]]&gt;Table139111271513814[[#This Row],[Number Diverge Lanes Cleared Left]],Table139111271513814[[#This Row],[Number Diverge Lanes Cleared Left]]&gt;0),Table139111271513814[[#This Row],[Right Diverge Shoulder Clear Width (ft)]]+Table139111271513814[[#This Row],[Windrow Mitigation Width (ft)]])</f>
        <v>9</v>
      </c>
      <c r="V6" s="333">
        <f>T6-U6</f>
        <v>9</v>
      </c>
      <c r="W6" s="182"/>
      <c r="X6" s="182"/>
      <c r="Y6" s="182"/>
      <c r="Z6" s="182"/>
      <c r="AA6" s="334"/>
      <c r="AB6" s="302"/>
      <c r="AC6" s="182"/>
      <c r="AD6" s="182"/>
      <c r="AE6" s="75"/>
      <c r="AF6" s="263"/>
      <c r="AG6" s="263"/>
    </row>
    <row r="7" spans="2:33" s="1" customFormat="1" ht="15.75" customHeight="1" thickBot="1" x14ac:dyDescent="0.35">
      <c r="B7" s="494" t="s">
        <v>89</v>
      </c>
      <c r="C7" s="498">
        <v>3</v>
      </c>
      <c r="D7" s="499">
        <v>3</v>
      </c>
      <c r="E7" s="499">
        <v>2</v>
      </c>
      <c r="F7" s="500">
        <v>12</v>
      </c>
      <c r="G7" s="500">
        <v>3</v>
      </c>
      <c r="H7" s="500">
        <v>3</v>
      </c>
      <c r="I7" s="501">
        <v>1</v>
      </c>
      <c r="J7" s="502">
        <v>2</v>
      </c>
      <c r="K7" s="503">
        <v>12</v>
      </c>
      <c r="L7" s="503">
        <v>2</v>
      </c>
      <c r="M7" s="503">
        <v>2</v>
      </c>
      <c r="N7" s="502"/>
      <c r="O7" s="504">
        <v>1</v>
      </c>
      <c r="Q7" s="333">
        <f>(LARGE(Table139111271513814[[#This Row],[ Number of
Beginning Lanes]]:Table139111271513814[[#This Row],[ Number of
Ending Lanes]],1))*Table139111271513814[[#This Row],[Through Lane(s) Width (ft)]]+Table139111271513814[[#This Row],[Right Through
 Shoulder Clear Width (ft)]]+Table139111271513814[[#This Row],[Left Through
 Shoulder Clear
Width (ft)]]</f>
        <v>42</v>
      </c>
      <c r="R7" s="333">
        <f>(LARGE(Table139111271513814[[#This Row],[ Number of
Beginning Lanes]]:Table139111271513814[[#This Row],[ Number of
Ending Lanes]],1)-Table139111271513814[[#This Row],[Number Through Lanes Cleared Left]])*Table139111271513814[[#This Row],[Through Lane(s) Width (ft)]]+IF(OR(Table139111271513814[[#This Row],[Number Through Lanes Cleared Left]]=0,Table139111271513814[[#This Row],[Number Through Lanes Cleared Left]]=""),Table139111271513814[[#This Row],[Right Through
 Shoulder Clear Width (ft)]]+Table139111271513814[[#This Row],[Left Through
 Shoulder Clear
Width (ft)]],0)+IF(AND(LARGE(Table139111271513814[[#This Row],[ Number of
Beginning Lanes]]:Table139111271513814[[#This Row],[ Number of
Ending Lanes]],1)&gt;Table139111271513814[[#This Row],[Number Through Lanes Cleared Left]],Table139111271513814[[#This Row],[Number Through Lanes Cleared Left]]&gt;0),Table139111271513814[[#This Row],[Right Through
 Shoulder Clear Width (ft)]])</f>
        <v>27</v>
      </c>
      <c r="S7" s="333">
        <f>Q7-R7</f>
        <v>15</v>
      </c>
      <c r="T7" s="333">
        <f>Table139111271513814[[#This Row],[Number of
Diverge Lanes]]*Table139111271513814[[#This Row],[Width of
Diverge Lanes
(ft)]]+Table139111271513814[[#This Row],[Right Diverge Shoulder Clear Width (ft)]]+Table139111271513814[[#This Row],[Left Diverge Shoulder Clear Width (ft)]]+Table139111271513814[[#This Row],[Windrow Mitigation Width (ft)]]</f>
        <v>29</v>
      </c>
      <c r="U7" s="333">
        <f>(Table139111271513814[[#This Row],[Number of
Diverge Lanes]]-Table139111271513814[[#This Row],[Number Diverge Lanes Cleared Left]])*Table139111271513814[[#This Row],[Width of
Diverge Lanes
(ft)]]+IF(OR(Table139111271513814[[#This Row],[Number Diverge Lanes Cleared Left]]=0,Table139111271513814[[#This Row],[Number Diverge Lanes Cleared Left]]=""),(Table139111271513814[[#This Row],[Right Diverge Shoulder Clear Width (ft)]]+Table139111271513814[[#This Row],[Left Diverge Shoulder Clear Width (ft)]])+Table139111271513814[[#This Row],[Windrow Mitigation Width (ft)]],0)+IF(AND(Table139111271513814[[#This Row],[Number of
Diverge Lanes]]&gt;Table139111271513814[[#This Row],[Number Diverge Lanes Cleared Left]],Table139111271513814[[#This Row],[Number Diverge Lanes Cleared Left]]&gt;0),Table139111271513814[[#This Row],[Right Diverge Shoulder Clear Width (ft)]]+Table139111271513814[[#This Row],[Windrow Mitigation Width (ft)]])</f>
        <v>29</v>
      </c>
      <c r="V7" s="333">
        <f>T7-U7</f>
        <v>0</v>
      </c>
      <c r="W7" s="182"/>
      <c r="X7" s="182"/>
      <c r="Y7" s="182"/>
      <c r="Z7" s="182"/>
      <c r="AA7" s="335"/>
      <c r="AB7" s="302"/>
      <c r="AC7" s="182"/>
      <c r="AD7" s="182"/>
      <c r="AE7" s="75"/>
      <c r="AF7" s="263"/>
      <c r="AG7" s="263"/>
    </row>
    <row r="8" spans="2:33" s="1" customFormat="1" ht="15.75" customHeight="1" thickBot="1" x14ac:dyDescent="0.35">
      <c r="B8" s="135" t="s">
        <v>90</v>
      </c>
      <c r="C8" s="189">
        <v>2</v>
      </c>
      <c r="D8" s="190">
        <v>2</v>
      </c>
      <c r="E8" s="190">
        <v>2</v>
      </c>
      <c r="F8" s="191">
        <v>12</v>
      </c>
      <c r="G8" s="191">
        <v>2</v>
      </c>
      <c r="H8" s="191">
        <v>2</v>
      </c>
      <c r="I8" s="192"/>
      <c r="J8" s="192">
        <v>1</v>
      </c>
      <c r="K8" s="191">
        <v>12</v>
      </c>
      <c r="L8" s="191">
        <v>2</v>
      </c>
      <c r="M8" s="191">
        <v>2</v>
      </c>
      <c r="N8" s="192">
        <v>1</v>
      </c>
      <c r="O8" s="194">
        <v>1</v>
      </c>
      <c r="P8" s="7"/>
      <c r="Q8" s="333">
        <f>(LARGE(Table139111271513814[[#This Row],[ Number of
Beginning Lanes]]:Table139111271513814[[#This Row],[ Number of
Ending Lanes]],1))*Table139111271513814[[#This Row],[Through Lane(s) Width (ft)]]+Table139111271513814[[#This Row],[Right Through
 Shoulder Clear Width (ft)]]+Table139111271513814[[#This Row],[Left Through
 Shoulder Clear
Width (ft)]]</f>
        <v>28</v>
      </c>
      <c r="R8" s="333">
        <f>(LARGE(Table139111271513814[[#This Row],[ Number of
Beginning Lanes]]:Table139111271513814[[#This Row],[ Number of
Ending Lanes]],1)-Table139111271513814[[#This Row],[Number Through Lanes Cleared Left]])*Table139111271513814[[#This Row],[Through Lane(s) Width (ft)]]+IF(OR(Table139111271513814[[#This Row],[Number Through Lanes Cleared Left]]=0,Table139111271513814[[#This Row],[Number Through Lanes Cleared Left]]=""),Table139111271513814[[#This Row],[Right Through
 Shoulder Clear Width (ft)]]+Table139111271513814[[#This Row],[Left Through
 Shoulder Clear
Width (ft)]],0)+IF(AND(LARGE(Table139111271513814[[#This Row],[ Number of
Beginning Lanes]]:Table139111271513814[[#This Row],[ Number of
Ending Lanes]],1)&gt;Table139111271513814[[#This Row],[Number Through Lanes Cleared Left]],Table139111271513814[[#This Row],[Number Through Lanes Cleared Left]]&gt;0),Table139111271513814[[#This Row],[Right Through
 Shoulder Clear Width (ft)]])</f>
        <v>28</v>
      </c>
      <c r="S8" s="333">
        <f>Q8-R8</f>
        <v>0</v>
      </c>
      <c r="T8" s="333">
        <f>Table139111271513814[[#This Row],[Number of
Diverge Lanes]]*Table139111271513814[[#This Row],[Width of
Diverge Lanes
(ft)]]+Table139111271513814[[#This Row],[Right Diverge Shoulder Clear Width (ft)]]+Table139111271513814[[#This Row],[Left Diverge Shoulder Clear Width (ft)]]+Table139111271513814[[#This Row],[Windrow Mitigation Width (ft)]]</f>
        <v>17</v>
      </c>
      <c r="U8" s="333">
        <f>(Table139111271513814[[#This Row],[Number of
Diverge Lanes]]-Table139111271513814[[#This Row],[Number Diverge Lanes Cleared Left]])*Table139111271513814[[#This Row],[Width of
Diverge Lanes
(ft)]]+IF(OR(Table139111271513814[[#This Row],[Number Diverge Lanes Cleared Left]]=0,Table139111271513814[[#This Row],[Number Diverge Lanes Cleared Left]]=""),(Table139111271513814[[#This Row],[Right Diverge Shoulder Clear Width (ft)]]+Table139111271513814[[#This Row],[Left Diverge Shoulder Clear Width (ft)]])+Table139111271513814[[#This Row],[Windrow Mitigation Width (ft)]],0)+IF(AND(Table139111271513814[[#This Row],[Number of
Diverge Lanes]]&gt;Table139111271513814[[#This Row],[Number Diverge Lanes Cleared Left]],Table139111271513814[[#This Row],[Number Diverge Lanes Cleared Left]]&gt;0),Table139111271513814[[#This Row],[Right Diverge Shoulder Clear Width (ft)]]+Table139111271513814[[#This Row],[Windrow Mitigation Width (ft)]])</f>
        <v>0</v>
      </c>
      <c r="V8" s="333">
        <f>T8-U8</f>
        <v>17</v>
      </c>
      <c r="W8" s="182"/>
      <c r="X8" s="182"/>
      <c r="Y8" s="182"/>
      <c r="Z8" s="182"/>
      <c r="AA8" s="335"/>
      <c r="AB8" s="302"/>
      <c r="AC8" s="182"/>
      <c r="AD8" s="182"/>
      <c r="AE8" s="75"/>
      <c r="AF8" s="263"/>
      <c r="AG8" s="263"/>
    </row>
    <row r="9" spans="2:33" s="1" customFormat="1" ht="20.100000000000001" customHeight="1" thickBot="1" x14ac:dyDescent="0.35">
      <c r="B9" s="494" t="s">
        <v>91</v>
      </c>
      <c r="C9" s="499">
        <v>2</v>
      </c>
      <c r="D9" s="499">
        <v>2</v>
      </c>
      <c r="E9" s="499">
        <v>2</v>
      </c>
      <c r="F9" s="500">
        <v>12</v>
      </c>
      <c r="G9" s="500">
        <v>2</v>
      </c>
      <c r="H9" s="500">
        <v>2</v>
      </c>
      <c r="I9" s="501">
        <v>0</v>
      </c>
      <c r="J9" s="502">
        <v>1</v>
      </c>
      <c r="K9" s="503">
        <v>10</v>
      </c>
      <c r="L9" s="503">
        <v>1</v>
      </c>
      <c r="M9" s="503">
        <v>2</v>
      </c>
      <c r="N9" s="502">
        <v>1</v>
      </c>
      <c r="O9" s="504">
        <v>2</v>
      </c>
      <c r="P9" s="7"/>
      <c r="Q9" s="333">
        <f>(LARGE(Table139111271513814[[#This Row],[ Number of
Beginning Lanes]]:Table139111271513814[[#This Row],[ Number of
Ending Lanes]],1))*Table139111271513814[[#This Row],[Through Lane(s) Width (ft)]]+Table139111271513814[[#This Row],[Right Through
 Shoulder Clear Width (ft)]]+Table139111271513814[[#This Row],[Left Through
 Shoulder Clear
Width (ft)]]</f>
        <v>28</v>
      </c>
      <c r="R9" s="333">
        <f>(LARGE(Table139111271513814[[#This Row],[ Number of
Beginning Lanes]]:Table139111271513814[[#This Row],[ Number of
Ending Lanes]],1)-Table139111271513814[[#This Row],[Number Through Lanes Cleared Left]])*Table139111271513814[[#This Row],[Through Lane(s) Width (ft)]]+IF(OR(Table139111271513814[[#This Row],[Number Through Lanes Cleared Left]]=0,Table139111271513814[[#This Row],[Number Through Lanes Cleared Left]]=""),Table139111271513814[[#This Row],[Right Through
 Shoulder Clear Width (ft)]]+Table139111271513814[[#This Row],[Left Through
 Shoulder Clear
Width (ft)]],0)+IF(AND(LARGE(Table139111271513814[[#This Row],[ Number of
Beginning Lanes]]:Table139111271513814[[#This Row],[ Number of
Ending Lanes]],1)&gt;Table139111271513814[[#This Row],[Number Through Lanes Cleared Left]],Table139111271513814[[#This Row],[Number Through Lanes Cleared Left]]&gt;0),Table139111271513814[[#This Row],[Right Through
 Shoulder Clear Width (ft)]])</f>
        <v>28</v>
      </c>
      <c r="S9" s="333">
        <f>Q9-R9</f>
        <v>0</v>
      </c>
      <c r="T9" s="333">
        <f>Table139111271513814[[#This Row],[Number of
Diverge Lanes]]*Table139111271513814[[#This Row],[Width of
Diverge Lanes
(ft)]]+Table139111271513814[[#This Row],[Right Diverge Shoulder Clear Width (ft)]]+Table139111271513814[[#This Row],[Left Diverge Shoulder Clear Width (ft)]]+Table139111271513814[[#This Row],[Windrow Mitigation Width (ft)]]</f>
        <v>15</v>
      </c>
      <c r="U9" s="333">
        <f>(Table139111271513814[[#This Row],[Number of
Diverge Lanes]]-Table139111271513814[[#This Row],[Number Diverge Lanes Cleared Left]])*Table139111271513814[[#This Row],[Width of
Diverge Lanes
(ft)]]+IF(OR(Table139111271513814[[#This Row],[Number Diverge Lanes Cleared Left]]=0,Table139111271513814[[#This Row],[Number Diverge Lanes Cleared Left]]=""),(Table139111271513814[[#This Row],[Right Diverge Shoulder Clear Width (ft)]]+Table139111271513814[[#This Row],[Left Diverge Shoulder Clear Width (ft)]])+Table139111271513814[[#This Row],[Windrow Mitigation Width (ft)]],0)+IF(AND(Table139111271513814[[#This Row],[Number of
Diverge Lanes]]&gt;Table139111271513814[[#This Row],[Number Diverge Lanes Cleared Left]],Table139111271513814[[#This Row],[Number Diverge Lanes Cleared Left]]&gt;0),Table139111271513814[[#This Row],[Right Diverge Shoulder Clear Width (ft)]]+Table139111271513814[[#This Row],[Windrow Mitigation Width (ft)]])</f>
        <v>0</v>
      </c>
      <c r="V9" s="333">
        <f>T9-U9</f>
        <v>15</v>
      </c>
      <c r="W9" s="182"/>
      <c r="X9" s="182"/>
      <c r="Y9" s="182"/>
      <c r="Z9" s="182"/>
      <c r="AA9" s="335"/>
      <c r="AB9" s="302"/>
      <c r="AC9" s="182"/>
      <c r="AD9" s="182"/>
      <c r="AE9" s="75"/>
      <c r="AF9" s="263"/>
      <c r="AG9" s="263"/>
    </row>
    <row r="10" spans="2:33" s="1" customFormat="1" ht="15" thickBot="1" x14ac:dyDescent="0.35">
      <c r="Q10" s="182"/>
      <c r="R10" s="182"/>
      <c r="S10" s="302"/>
      <c r="T10" s="182"/>
      <c r="U10" s="302"/>
      <c r="V10" s="302"/>
      <c r="W10" s="182"/>
      <c r="X10" s="182"/>
      <c r="Y10" s="182"/>
      <c r="Z10" s="182"/>
      <c r="AA10" s="302"/>
      <c r="AB10" s="182"/>
      <c r="AC10" s="182"/>
      <c r="AD10" s="182"/>
      <c r="AE10" s="75"/>
      <c r="AF10" s="263"/>
      <c r="AG10" s="263"/>
    </row>
    <row r="11" spans="2:33" s="1" customFormat="1" ht="24.9" customHeight="1" thickBot="1" x14ac:dyDescent="0.35">
      <c r="B11" s="763" t="s">
        <v>94</v>
      </c>
      <c r="C11" s="763"/>
      <c r="D11" s="763"/>
      <c r="E11" s="763"/>
      <c r="F11" s="763"/>
      <c r="G11" s="763"/>
      <c r="H11" s="763"/>
      <c r="I11" s="763"/>
      <c r="J11" s="763"/>
      <c r="K11" s="763"/>
      <c r="L11" s="763"/>
      <c r="M11" s="763"/>
      <c r="N11" s="270"/>
      <c r="O11" s="270"/>
      <c r="P11" s="263"/>
      <c r="Q11" s="742" t="s">
        <v>46</v>
      </c>
      <c r="R11" s="742"/>
      <c r="S11" s="742"/>
      <c r="T11" s="742"/>
      <c r="U11" s="742"/>
      <c r="V11" s="742"/>
      <c r="W11" s="182"/>
      <c r="X11" s="742" t="s">
        <v>78</v>
      </c>
      <c r="Y11" s="742"/>
      <c r="Z11" s="742"/>
      <c r="AA11" s="742"/>
      <c r="AB11" s="742"/>
      <c r="AC11" s="182"/>
      <c r="AD11" s="182"/>
      <c r="AE11" s="75"/>
      <c r="AF11" s="263"/>
      <c r="AG11" s="263"/>
    </row>
    <row r="12" spans="2:33" s="1" customFormat="1" ht="44.4" thickTop="1" thickBot="1" x14ac:dyDescent="0.35">
      <c r="B12" s="5" t="s">
        <v>38</v>
      </c>
      <c r="C12" s="32" t="s">
        <v>88</v>
      </c>
      <c r="D12" s="38" t="s">
        <v>39</v>
      </c>
      <c r="E12" s="41" t="s">
        <v>45</v>
      </c>
      <c r="F12" s="40" t="s">
        <v>42</v>
      </c>
      <c r="G12" s="34" t="s">
        <v>43</v>
      </c>
      <c r="H12" s="4" t="s">
        <v>17</v>
      </c>
      <c r="I12" s="41" t="s">
        <v>110</v>
      </c>
      <c r="J12" s="41" t="s">
        <v>111</v>
      </c>
      <c r="K12" s="35" t="s">
        <v>105</v>
      </c>
      <c r="L12" s="35" t="s">
        <v>112</v>
      </c>
      <c r="M12" s="36" t="s">
        <v>104</v>
      </c>
      <c r="N12" s="275"/>
      <c r="O12" s="275"/>
      <c r="P12" s="263"/>
      <c r="Q12" s="318" t="s">
        <v>108</v>
      </c>
      <c r="R12" s="318" t="s">
        <v>106</v>
      </c>
      <c r="S12" s="318" t="s">
        <v>107</v>
      </c>
      <c r="T12" s="318" t="s">
        <v>109</v>
      </c>
      <c r="U12" s="318" t="s">
        <v>100</v>
      </c>
      <c r="V12" s="318" t="s">
        <v>101</v>
      </c>
      <c r="W12" s="302"/>
      <c r="X12" s="256" t="s">
        <v>64</v>
      </c>
      <c r="Y12" s="256" t="s">
        <v>65</v>
      </c>
      <c r="Z12" s="247"/>
      <c r="AA12" s="256" t="s">
        <v>70</v>
      </c>
      <c r="AB12" s="256" t="s">
        <v>71</v>
      </c>
      <c r="AC12" s="182"/>
      <c r="AD12" s="182"/>
      <c r="AE12" s="75"/>
      <c r="AF12" s="263"/>
      <c r="AG12" s="263"/>
    </row>
    <row r="13" spans="2:33" s="1" customFormat="1" ht="20.100000000000001" customHeight="1" thickTop="1" thickBot="1" x14ac:dyDescent="0.35">
      <c r="B13" s="508" t="s">
        <v>223</v>
      </c>
      <c r="C13" s="489">
        <v>2</v>
      </c>
      <c r="D13" s="490">
        <v>2</v>
      </c>
      <c r="E13" s="516">
        <v>12</v>
      </c>
      <c r="F13" s="516">
        <v>2</v>
      </c>
      <c r="G13" s="516">
        <v>1</v>
      </c>
      <c r="H13" s="489">
        <v>1</v>
      </c>
      <c r="I13" s="510">
        <v>1</v>
      </c>
      <c r="J13" s="511">
        <v>12</v>
      </c>
      <c r="K13" s="511">
        <v>2</v>
      </c>
      <c r="L13" s="511">
        <v>1</v>
      </c>
      <c r="M13" s="512"/>
      <c r="N13" s="276"/>
      <c r="O13" s="277"/>
      <c r="P13" s="264"/>
      <c r="Q13" s="333">
        <f>(LARGE(Table1391112715138[[#This Row],[ Number of
Beginning Lanes]]:Table1391112715138[[#This Row],[ Number of
Ending Lanes]],1))*Table1391112715138[[#This Row],[Through
 Lane Width (ft)]]+Table1391112715138[[#This Row],[Left Through
 Shoulder Clear
Width (ft)]]+Table1391112715138[[#This Row],[Right Through
 Shoulder Clear Width (ft)]]</f>
        <v>27</v>
      </c>
      <c r="R13" s="333">
        <f>IF(OR(Table1391112715138[[#This Row],[Number Through Lanes Cleared Left]]=0,Table1391112715138[[#This Row],[Number Through Lanes Cleared Left]]=""),Table1391112715138[[#This Row],[Right Through
 Shoulder Clear Width (ft)]]+Table1391112715138[[#This Row],[Left Through
 Shoulder Clear
Width (ft)]],Table1391112715138[[#This Row],[Left Through
 Shoulder Clear
Width (ft)]])+(LARGE(Table1391112715138[[#This Row],[ Number of
Beginning Lanes]]:Table1391112715138[[#This Row],[ Number of
Ending Lanes]],1)-Table1391112715138[[#This Row],[Number Through Lanes Cleared Left]])*Table1391112715138[[#This Row],[Through
 Lane Width (ft)]]-IF(LARGE(Table1391112715138[[#This Row],[ Number of
Beginning Lanes]]:Table1391112715138[[#This Row],[ Number of
Ending Lanes]],1)=Table1391112715138[[#This Row],[Number Through Lanes Cleared Left]],Table1391112715138[[#This Row],[Right Through
 Shoulder Clear Width (ft)]],0)</f>
        <v>13</v>
      </c>
      <c r="S13" s="333">
        <f>Q13-R13</f>
        <v>14</v>
      </c>
      <c r="T13" s="333">
        <f>Table1391112715138[[#This Row],[Width of
Diverge Lanes (ft)]]*Table1391112715138[[#This Row],[Number of
Diverge Lanes]]+Table1391112715138[[#This Row],[Left Diverge
Shoulder Clear Width (ft)]]+Table1391112715138[[#This Row],[Right Diverge Shoulder Clear Width (ft)]]</f>
        <v>15</v>
      </c>
      <c r="U13" s="333">
        <f>T13-V13</f>
        <v>15</v>
      </c>
      <c r="V13" s="333">
        <f>IF(OR(Table1391112715138[[#This Row],[Number Diverge Lanes Cleared Left]]="",Table1391112715138[[#This Row],[Number Diverge Lanes Cleared Left]]=0),0,Table1391112715138[[#This Row],[Number Diverge Lanes Cleared Left]]*Table1391112715138[[#This Row],[Width of
Diverge Lanes (ft)]]+Table1391112715138[[#This Row],[Left Diverge
Shoulder Clear Width (ft)]])+IF(AND(Table1391112715138[[#This Row],[Number Diverge Lanes Cleared Left]]&lt;&gt;"",Table1391112715138[[#This Row],[Number of
Diverge Lanes]]=Table1391112715138[[#This Row],[Number Diverge Lanes Cleared Left]]),Table1391112715138[[#This Row],[Right Diverge Shoulder Clear Width (ft)]],0)</f>
        <v>0</v>
      </c>
      <c r="W13" s="182"/>
      <c r="X13" s="248">
        <f>LARGE(R13:R15,1)</f>
        <v>39</v>
      </c>
      <c r="Y13" s="248">
        <f>LARGE(S13:S15,1)</f>
        <v>15</v>
      </c>
      <c r="Z13" s="247"/>
      <c r="AA13" s="248">
        <f>LARGE(U13:U15,1)</f>
        <v>28</v>
      </c>
      <c r="AB13" s="248">
        <f>LARGE(V13:V15,1)</f>
        <v>13</v>
      </c>
      <c r="AC13" s="182"/>
      <c r="AD13" s="182"/>
      <c r="AE13" s="263"/>
      <c r="AF13" s="263"/>
      <c r="AG13" s="263"/>
    </row>
    <row r="14" spans="2:33" s="1" customFormat="1" ht="20.100000000000001" customHeight="1" thickBot="1" x14ac:dyDescent="0.35">
      <c r="B14" s="188" t="s">
        <v>224</v>
      </c>
      <c r="C14" s="189">
        <v>3</v>
      </c>
      <c r="D14" s="190">
        <v>2</v>
      </c>
      <c r="E14" s="191">
        <v>12</v>
      </c>
      <c r="F14" s="191">
        <v>2</v>
      </c>
      <c r="G14" s="191">
        <v>1</v>
      </c>
      <c r="H14" s="192"/>
      <c r="I14" s="192">
        <v>2</v>
      </c>
      <c r="J14" s="191">
        <v>12</v>
      </c>
      <c r="K14" s="191">
        <v>2</v>
      </c>
      <c r="L14" s="191">
        <v>1</v>
      </c>
      <c r="M14" s="193">
        <v>1</v>
      </c>
      <c r="N14" s="277"/>
      <c r="O14" s="277"/>
      <c r="P14" s="263"/>
      <c r="Q14" s="333">
        <f>(LARGE(Table1391112715138[[#This Row],[ Number of
Beginning Lanes]]:Table1391112715138[[#This Row],[ Number of
Ending Lanes]],1))*Table1391112715138[[#This Row],[Through
 Lane Width (ft)]]+Table1391112715138[[#This Row],[Left Through
 Shoulder Clear
Width (ft)]]+Table1391112715138[[#This Row],[Right Through
 Shoulder Clear Width (ft)]]</f>
        <v>39</v>
      </c>
      <c r="R14" s="333">
        <f>IF(OR(Table1391112715138[[#This Row],[Number Through Lanes Cleared Left]]=0,Table1391112715138[[#This Row],[Number Through Lanes Cleared Left]]=""),Table1391112715138[[#This Row],[Right Through
 Shoulder Clear Width (ft)]]+Table1391112715138[[#This Row],[Left Through
 Shoulder Clear
Width (ft)]],Table1391112715138[[#This Row],[Left Through
 Shoulder Clear
Width (ft)]])+(LARGE(Table1391112715138[[#This Row],[ Number of
Beginning Lanes]]:Table1391112715138[[#This Row],[ Number of
Ending Lanes]],1)-Table1391112715138[[#This Row],[Number Through Lanes Cleared Left]])*Table1391112715138[[#This Row],[Through
 Lane Width (ft)]]-IF(LARGE(Table1391112715138[[#This Row],[ Number of
Beginning Lanes]]:Table1391112715138[[#This Row],[ Number of
Ending Lanes]],1)=Table1391112715138[[#This Row],[Number Through Lanes Cleared Left]],Table1391112715138[[#This Row],[Right Through
 Shoulder Clear Width (ft)]],0)</f>
        <v>39</v>
      </c>
      <c r="S14" s="333">
        <f>Q14-R14</f>
        <v>0</v>
      </c>
      <c r="T14" s="333">
        <f>Table1391112715138[[#This Row],[Width of
Diverge Lanes (ft)]]*Table1391112715138[[#This Row],[Number of
Diverge Lanes]]+Table1391112715138[[#This Row],[Left Diverge
Shoulder Clear Width (ft)]]+Table1391112715138[[#This Row],[Right Diverge Shoulder Clear Width (ft)]]</f>
        <v>27</v>
      </c>
      <c r="U14" s="333">
        <f>T14-V14</f>
        <v>14</v>
      </c>
      <c r="V14" s="333">
        <f>IF(Table1391112715138[[#This Row],[Number Diverge Lanes Cleared Left]]="",0,Table1391112715138[[#This Row],[Number Diverge Lanes Cleared Left]]*Table1391112715138[[#This Row],[Width of
Diverge Lanes (ft)]]+Table1391112715138[[#This Row],[Left Diverge
Shoulder Clear Width (ft)]])+IF(AND(Table1391112715138[[#This Row],[Number Diverge Lanes Cleared Left]]&lt;&gt;"",Table1391112715138[[#This Row],[Number of
Diverge Lanes]]=Table1391112715138[[#This Row],[Number Diverge Lanes Cleared Left]]),Table1391112715138[[#This Row],[Right Diverge Shoulder Clear Width (ft)]],0)</f>
        <v>13</v>
      </c>
      <c r="W14" s="182"/>
      <c r="X14" s="182"/>
      <c r="Y14" s="182"/>
      <c r="Z14" s="182"/>
      <c r="AA14" s="182"/>
      <c r="AB14" s="182"/>
      <c r="AC14" s="182"/>
      <c r="AD14" s="182"/>
      <c r="AE14" s="263"/>
      <c r="AF14" s="263"/>
      <c r="AG14" s="263"/>
    </row>
    <row r="15" spans="2:33" s="1" customFormat="1" ht="20.100000000000001" customHeight="1" thickBot="1" x14ac:dyDescent="0.35">
      <c r="B15" s="509" t="s">
        <v>92</v>
      </c>
      <c r="C15" s="517">
        <v>3</v>
      </c>
      <c r="D15" s="518">
        <v>3</v>
      </c>
      <c r="E15" s="519">
        <v>12</v>
      </c>
      <c r="F15" s="519">
        <v>3</v>
      </c>
      <c r="G15" s="519">
        <v>2</v>
      </c>
      <c r="H15" s="520">
        <v>1</v>
      </c>
      <c r="I15" s="513">
        <v>2</v>
      </c>
      <c r="J15" s="514">
        <v>12</v>
      </c>
      <c r="K15" s="514">
        <v>2</v>
      </c>
      <c r="L15" s="514">
        <v>2</v>
      </c>
      <c r="M15" s="515"/>
      <c r="N15" s="277"/>
      <c r="O15" s="277"/>
      <c r="P15" s="263"/>
      <c r="Q15" s="333">
        <f>(LARGE(Table1391112715138[[#This Row],[ Number of
Beginning Lanes]]:Table1391112715138[[#This Row],[ Number of
Ending Lanes]],1))*Table1391112715138[[#This Row],[Through
 Lane Width (ft)]]+Table1391112715138[[#This Row],[Left Through
 Shoulder Clear
Width (ft)]]+Table1391112715138[[#This Row],[Right Through
 Shoulder Clear Width (ft)]]</f>
        <v>41</v>
      </c>
      <c r="R15" s="333">
        <f>IF(OR(Table1391112715138[[#This Row],[Number Through Lanes Cleared Left]]=0,Table1391112715138[[#This Row],[Number Through Lanes Cleared Left]]=""),Table1391112715138[[#This Row],[Right Through
 Shoulder Clear Width (ft)]]+Table1391112715138[[#This Row],[Left Through
 Shoulder Clear
Width (ft)]],Table1391112715138[[#This Row],[Left Through
 Shoulder Clear
Width (ft)]])+(LARGE(Table1391112715138[[#This Row],[ Number of
Beginning Lanes]]:Table1391112715138[[#This Row],[ Number of
Ending Lanes]],1)-Table1391112715138[[#This Row],[Number Through Lanes Cleared Left]])*Table1391112715138[[#This Row],[Through
 Lane Width (ft)]]-IF(LARGE(Table1391112715138[[#This Row],[ Number of
Beginning Lanes]]:Table1391112715138[[#This Row],[ Number of
Ending Lanes]],1)=Table1391112715138[[#This Row],[Number Through Lanes Cleared Left]],Table1391112715138[[#This Row],[Right Through
 Shoulder Clear Width (ft)]],0)</f>
        <v>26</v>
      </c>
      <c r="S15" s="333">
        <f>Q15-R15</f>
        <v>15</v>
      </c>
      <c r="T15" s="333">
        <f>Table1391112715138[[#This Row],[Width of
Diverge Lanes (ft)]]*Table1391112715138[[#This Row],[Number of
Diverge Lanes]]+Table1391112715138[[#This Row],[Left Diverge
Shoulder Clear Width (ft)]]+Table1391112715138[[#This Row],[Right Diverge Shoulder Clear Width (ft)]]</f>
        <v>28</v>
      </c>
      <c r="U15" s="333">
        <f>T15-V15</f>
        <v>28</v>
      </c>
      <c r="V15" s="333">
        <f>IF(Table1391112715138[[#This Row],[Number Diverge Lanes Cleared Left]]="",0,Table1391112715138[[#This Row],[Number Diverge Lanes Cleared Left]]*Table1391112715138[[#This Row],[Width of
Diverge Lanes (ft)]]+Table1391112715138[[#This Row],[Left Diverge
Shoulder Clear Width (ft)]])+IF(AND(Table1391112715138[[#This Row],[Number Diverge Lanes Cleared Left]]&lt;&gt;"",Table1391112715138[[#This Row],[Number of
Diverge Lanes]]=Table1391112715138[[#This Row],[Number Diverge Lanes Cleared Left]]),Table1391112715138[[#This Row],[Right Diverge Shoulder Clear Width (ft)]],0)</f>
        <v>0</v>
      </c>
      <c r="W15" s="182"/>
      <c r="X15" s="182"/>
      <c r="Y15" s="182"/>
      <c r="Z15" s="182"/>
      <c r="AA15" s="182"/>
      <c r="AB15" s="182"/>
      <c r="AC15" s="182"/>
      <c r="AD15" s="182"/>
      <c r="AE15" s="263"/>
      <c r="AF15" s="263"/>
      <c r="AG15" s="263"/>
    </row>
    <row r="16" spans="2:33" s="1" customFormat="1" ht="9.9" customHeight="1" thickBot="1" x14ac:dyDescent="0.35">
      <c r="M16" s="42"/>
      <c r="N16" s="2"/>
      <c r="O16" s="23"/>
      <c r="R16" s="74"/>
      <c r="S16" s="2"/>
      <c r="T16" s="77"/>
      <c r="U16" s="77"/>
      <c r="V16" s="77"/>
      <c r="W16" s="76"/>
      <c r="X16" s="76"/>
      <c r="AC16" s="263"/>
      <c r="AD16" s="263"/>
      <c r="AE16" s="263"/>
      <c r="AF16" s="263"/>
      <c r="AG16" s="263"/>
    </row>
    <row r="17" spans="2:33" s="1" customFormat="1" ht="24.9" customHeight="1" thickBot="1" x14ac:dyDescent="0.35">
      <c r="B17" s="758"/>
      <c r="C17" s="758"/>
      <c r="D17" s="758"/>
      <c r="E17" s="6"/>
      <c r="F17" s="761"/>
      <c r="G17" s="761"/>
      <c r="H17" s="761"/>
      <c r="J17" s="762"/>
      <c r="K17" s="762"/>
      <c r="L17" s="762"/>
      <c r="M17" s="762"/>
      <c r="N17" s="6"/>
      <c r="O17" s="759"/>
      <c r="P17" s="759"/>
      <c r="Q17" s="759"/>
      <c r="R17" s="759"/>
      <c r="S17" s="759"/>
      <c r="T17" s="258"/>
      <c r="U17" s="742" t="s">
        <v>132</v>
      </c>
      <c r="V17" s="742"/>
      <c r="W17" s="182"/>
      <c r="X17" s="182"/>
      <c r="Y17" s="75"/>
      <c r="Z17" s="75"/>
      <c r="AA17" s="75"/>
      <c r="AB17" s="75"/>
      <c r="AC17" s="263"/>
      <c r="AD17" s="263"/>
      <c r="AE17" s="263"/>
      <c r="AF17" s="263"/>
      <c r="AG17" s="263"/>
    </row>
    <row r="18" spans="2:33" s="1" customFormat="1" ht="30" customHeight="1" thickBot="1" x14ac:dyDescent="0.35">
      <c r="B18" s="758"/>
      <c r="C18" s="758"/>
      <c r="D18" s="758"/>
      <c r="E18" s="6"/>
      <c r="F18" s="761"/>
      <c r="G18" s="761"/>
      <c r="H18" s="761"/>
      <c r="J18" s="762"/>
      <c r="K18" s="762"/>
      <c r="L18" s="762"/>
      <c r="M18" s="762"/>
      <c r="N18" s="6"/>
      <c r="O18" s="759"/>
      <c r="P18" s="759"/>
      <c r="Q18" s="759"/>
      <c r="R18" s="759"/>
      <c r="S18" s="759"/>
      <c r="T18" s="258"/>
      <c r="U18" s="256" t="s">
        <v>81</v>
      </c>
      <c r="V18" s="256" t="s">
        <v>82</v>
      </c>
      <c r="W18" s="182"/>
      <c r="X18" s="182"/>
      <c r="Y18" s="75"/>
      <c r="Z18" s="75"/>
      <c r="AA18" s="75"/>
      <c r="AB18" s="75"/>
      <c r="AC18" s="263"/>
      <c r="AD18" s="263"/>
      <c r="AE18" s="263"/>
      <c r="AF18" s="263"/>
      <c r="AG18" s="263"/>
    </row>
    <row r="19" spans="2:33" s="1" customFormat="1" ht="20.100000000000001" customHeight="1" thickBot="1" x14ac:dyDescent="0.35">
      <c r="B19" s="758"/>
      <c r="C19" s="758"/>
      <c r="D19" s="758"/>
      <c r="E19" s="6"/>
      <c r="F19" s="761"/>
      <c r="G19" s="761"/>
      <c r="H19" s="761"/>
      <c r="J19" s="762"/>
      <c r="K19" s="762"/>
      <c r="L19" s="762"/>
      <c r="M19" s="762"/>
      <c r="N19" s="6"/>
      <c r="O19" s="759"/>
      <c r="P19" s="759"/>
      <c r="Q19" s="759"/>
      <c r="R19" s="759"/>
      <c r="S19" s="759"/>
      <c r="T19" s="258"/>
      <c r="U19" s="255" t="e">
        <f>LARGE(X5:X38,1)</f>
        <v>#NUM!</v>
      </c>
      <c r="V19" s="255" t="e">
        <f>LARGE(Y5:Y38,1)</f>
        <v>#NUM!</v>
      </c>
      <c r="W19" s="182"/>
      <c r="X19" s="182"/>
      <c r="Y19" s="75"/>
      <c r="Z19" s="75"/>
      <c r="AA19" s="75"/>
      <c r="AB19" s="75"/>
    </row>
    <row r="20" spans="2:33" s="1" customFormat="1" ht="15" customHeight="1" thickBot="1" x14ac:dyDescent="0.35">
      <c r="B20" s="758"/>
      <c r="C20" s="758"/>
      <c r="D20" s="758"/>
      <c r="E20" s="6"/>
      <c r="F20" s="761"/>
      <c r="G20" s="761"/>
      <c r="H20" s="761"/>
      <c r="J20" s="762"/>
      <c r="K20" s="762"/>
      <c r="L20" s="762"/>
      <c r="M20" s="762"/>
      <c r="N20" s="6"/>
      <c r="O20" s="759"/>
      <c r="P20" s="759"/>
      <c r="Q20" s="759"/>
      <c r="R20" s="759"/>
      <c r="S20" s="759"/>
      <c r="T20" s="258"/>
      <c r="U20" s="259"/>
      <c r="V20" s="259"/>
      <c r="W20" s="182"/>
      <c r="X20" s="182"/>
      <c r="Y20" s="75"/>
      <c r="Z20" s="75"/>
      <c r="AA20" s="75"/>
      <c r="AB20" s="75"/>
    </row>
    <row r="21" spans="2:33" s="1" customFormat="1" ht="24.9" customHeight="1" thickBot="1" x14ac:dyDescent="0.35">
      <c r="B21" s="758"/>
      <c r="C21" s="758"/>
      <c r="D21" s="758"/>
      <c r="E21" s="6"/>
      <c r="F21" s="761"/>
      <c r="G21" s="761"/>
      <c r="H21" s="761"/>
      <c r="J21" s="762"/>
      <c r="K21" s="762"/>
      <c r="L21" s="762"/>
      <c r="M21" s="762"/>
      <c r="N21" s="6"/>
      <c r="O21" s="759"/>
      <c r="P21" s="759"/>
      <c r="Q21" s="759"/>
      <c r="R21" s="759"/>
      <c r="S21" s="759"/>
      <c r="T21" s="258"/>
      <c r="U21" s="742" t="s">
        <v>76</v>
      </c>
      <c r="V21" s="742"/>
      <c r="W21" s="182"/>
      <c r="X21" s="182"/>
      <c r="Y21" s="75"/>
      <c r="Z21" s="75"/>
      <c r="AA21" s="78"/>
      <c r="AB21" s="75"/>
    </row>
    <row r="22" spans="2:33" s="1" customFormat="1" ht="30" customHeight="1" thickBot="1" x14ac:dyDescent="0.35">
      <c r="B22" s="758"/>
      <c r="C22" s="758"/>
      <c r="D22" s="758"/>
      <c r="E22" s="6"/>
      <c r="F22" s="761"/>
      <c r="G22" s="761"/>
      <c r="H22" s="761"/>
      <c r="J22" s="762"/>
      <c r="K22" s="762"/>
      <c r="L22" s="762"/>
      <c r="M22" s="762"/>
      <c r="N22" s="6"/>
      <c r="O22" s="759"/>
      <c r="P22" s="759"/>
      <c r="Q22" s="759"/>
      <c r="R22" s="759"/>
      <c r="S22" s="759"/>
      <c r="T22" s="258"/>
      <c r="U22" s="256" t="s">
        <v>81</v>
      </c>
      <c r="V22" s="256" t="s">
        <v>82</v>
      </c>
      <c r="W22" s="182"/>
      <c r="X22" s="182"/>
      <c r="Y22" s="75"/>
      <c r="Z22" s="75"/>
      <c r="AA22" s="75"/>
      <c r="AB22" s="75"/>
    </row>
    <row r="23" spans="2:33" s="1" customFormat="1" ht="20.100000000000001" customHeight="1" thickBot="1" x14ac:dyDescent="0.35">
      <c r="B23" s="758"/>
      <c r="C23" s="758"/>
      <c r="D23" s="758"/>
      <c r="E23" s="6"/>
      <c r="F23" s="761"/>
      <c r="G23" s="761"/>
      <c r="H23" s="761"/>
      <c r="J23" s="762"/>
      <c r="K23" s="762"/>
      <c r="L23" s="762"/>
      <c r="M23" s="762"/>
      <c r="N23" s="6"/>
      <c r="O23" s="759"/>
      <c r="P23" s="759"/>
      <c r="Q23" s="759"/>
      <c r="R23" s="759"/>
      <c r="S23" s="759"/>
      <c r="T23" s="258"/>
      <c r="U23" s="257">
        <f>IF(AA5&gt;AA32,AA5,AA32)</f>
        <v>29</v>
      </c>
      <c r="V23" s="257">
        <f>IF(AB5&gt;AB32,AB5,AB32)</f>
        <v>17</v>
      </c>
      <c r="W23" s="182"/>
      <c r="X23" s="182"/>
      <c r="Y23" s="75"/>
      <c r="Z23" s="75"/>
      <c r="AA23" s="75"/>
      <c r="AB23" s="75"/>
    </row>
    <row r="24" spans="2:33" s="1" customFormat="1" ht="15" customHeight="1" thickBot="1" x14ac:dyDescent="0.35">
      <c r="B24" s="758"/>
      <c r="C24" s="758"/>
      <c r="D24" s="758"/>
      <c r="E24" s="6"/>
      <c r="F24" s="761"/>
      <c r="G24" s="761"/>
      <c r="H24" s="761"/>
      <c r="J24" s="762"/>
      <c r="K24" s="762"/>
      <c r="L24" s="762"/>
      <c r="M24" s="762"/>
      <c r="N24" s="6"/>
      <c r="O24" s="759"/>
      <c r="P24" s="759"/>
      <c r="Q24" s="759"/>
      <c r="R24" s="759"/>
      <c r="S24" s="759"/>
      <c r="T24" s="258"/>
      <c r="U24" s="256"/>
      <c r="V24" s="256"/>
      <c r="W24" s="182"/>
      <c r="X24" s="182"/>
      <c r="Y24" s="75"/>
      <c r="Z24" s="75"/>
      <c r="AA24" s="75"/>
      <c r="AB24" s="75"/>
    </row>
    <row r="25" spans="2:33" s="1" customFormat="1" ht="24.9" customHeight="1" thickBot="1" x14ac:dyDescent="0.35">
      <c r="B25" s="758"/>
      <c r="C25" s="758"/>
      <c r="D25" s="758"/>
      <c r="E25" s="6"/>
      <c r="F25" s="761"/>
      <c r="G25" s="761"/>
      <c r="H25" s="761"/>
      <c r="J25" s="762"/>
      <c r="K25" s="762"/>
      <c r="L25" s="762"/>
      <c r="M25" s="762"/>
      <c r="N25" s="6"/>
      <c r="O25" s="759"/>
      <c r="P25" s="759"/>
      <c r="Q25" s="759"/>
      <c r="R25" s="759"/>
      <c r="S25" s="759"/>
      <c r="T25" s="258"/>
      <c r="U25" s="742" t="s">
        <v>77</v>
      </c>
      <c r="V25" s="742"/>
      <c r="W25" s="182"/>
      <c r="X25" s="182"/>
      <c r="Y25" s="75"/>
      <c r="Z25" s="75"/>
      <c r="AA25" s="75"/>
      <c r="AB25" s="75"/>
    </row>
    <row r="26" spans="2:33" s="1" customFormat="1" ht="30" customHeight="1" thickBot="1" x14ac:dyDescent="0.35">
      <c r="B26" s="758"/>
      <c r="C26" s="758"/>
      <c r="D26" s="758"/>
      <c r="E26" s="6"/>
      <c r="F26" s="761"/>
      <c r="G26" s="761"/>
      <c r="H26" s="761"/>
      <c r="J26" s="762"/>
      <c r="K26" s="762"/>
      <c r="L26" s="762"/>
      <c r="M26" s="762"/>
      <c r="N26" s="6"/>
      <c r="O26" s="759"/>
      <c r="P26" s="759"/>
      <c r="Q26" s="759"/>
      <c r="R26" s="759"/>
      <c r="S26" s="759"/>
      <c r="T26" s="258"/>
      <c r="U26" s="256" t="s">
        <v>81</v>
      </c>
      <c r="V26" s="256" t="s">
        <v>82</v>
      </c>
      <c r="W26" s="182"/>
      <c r="X26" s="182"/>
      <c r="Y26" s="75"/>
      <c r="Z26" s="75"/>
      <c r="AA26" s="75"/>
      <c r="AB26" s="75"/>
    </row>
    <row r="27" spans="2:33" s="1" customFormat="1" ht="20.100000000000001" customHeight="1" thickBot="1" x14ac:dyDescent="0.35">
      <c r="B27" s="758"/>
      <c r="C27" s="758"/>
      <c r="D27" s="758"/>
      <c r="E27" s="6"/>
      <c r="F27" s="761"/>
      <c r="G27" s="761"/>
      <c r="H27" s="761"/>
      <c r="J27" s="762"/>
      <c r="K27" s="762"/>
      <c r="L27" s="762"/>
      <c r="M27" s="762"/>
      <c r="N27" s="6"/>
      <c r="O27" s="759"/>
      <c r="P27" s="759"/>
      <c r="Q27" s="759"/>
      <c r="R27" s="759"/>
      <c r="S27" s="759"/>
      <c r="T27" s="258"/>
      <c r="U27" s="255">
        <f>AA13</f>
        <v>28</v>
      </c>
      <c r="V27" s="260">
        <f>AB13</f>
        <v>13</v>
      </c>
      <c r="W27" s="182"/>
      <c r="X27" s="182"/>
      <c r="Y27" s="75"/>
      <c r="Z27" s="75"/>
      <c r="AA27" s="75"/>
      <c r="AB27" s="75"/>
    </row>
    <row r="28" spans="2:33" s="1" customFormat="1" ht="186.75" customHeight="1" thickBot="1" x14ac:dyDescent="0.35">
      <c r="B28" s="758"/>
      <c r="C28" s="758"/>
      <c r="D28" s="758"/>
      <c r="E28" s="538"/>
      <c r="F28" s="761"/>
      <c r="G28" s="761"/>
      <c r="H28" s="761"/>
      <c r="J28" s="762"/>
      <c r="K28" s="762"/>
      <c r="L28" s="762"/>
      <c r="M28" s="762"/>
      <c r="N28" s="6"/>
      <c r="O28" s="759"/>
      <c r="P28" s="759"/>
      <c r="Q28" s="759"/>
      <c r="R28" s="759"/>
      <c r="S28" s="759"/>
      <c r="T28" s="217"/>
      <c r="U28" s="217"/>
      <c r="V28" s="217"/>
      <c r="W28" s="169"/>
      <c r="X28" s="169"/>
      <c r="Y28" s="75"/>
      <c r="Z28" s="75"/>
      <c r="AA28" s="75"/>
      <c r="AB28" s="75"/>
    </row>
    <row r="29" spans="2:33" ht="9.9" customHeight="1" thickBot="1" x14ac:dyDescent="0.35"/>
    <row r="30" spans="2:33" ht="24.9" customHeight="1" thickBot="1" x14ac:dyDescent="0.35">
      <c r="B30" s="757" t="s">
        <v>93</v>
      </c>
      <c r="C30" s="757"/>
      <c r="D30" s="757"/>
      <c r="E30" s="757"/>
      <c r="F30" s="757"/>
      <c r="G30" s="757"/>
      <c r="H30" s="757"/>
      <c r="I30" s="757"/>
      <c r="J30" s="757"/>
      <c r="K30" s="757"/>
      <c r="L30" s="757"/>
      <c r="M30" s="757"/>
      <c r="N30" s="757"/>
      <c r="O30" s="757"/>
      <c r="P30" s="1"/>
      <c r="Q30" s="742" t="s">
        <v>40</v>
      </c>
      <c r="R30" s="742"/>
      <c r="S30" s="742"/>
      <c r="T30" s="742"/>
      <c r="U30" s="742"/>
      <c r="V30" s="742"/>
      <c r="W30" s="304"/>
      <c r="X30" s="742" t="s">
        <v>79</v>
      </c>
      <c r="Y30" s="742"/>
      <c r="Z30" s="742"/>
      <c r="AA30" s="742"/>
      <c r="AB30" s="742"/>
      <c r="AC30" s="76"/>
      <c r="AD30" s="263"/>
      <c r="AE30" s="263"/>
      <c r="AF30" s="263"/>
    </row>
    <row r="31" spans="2:33" ht="50.1" customHeight="1" thickTop="1" thickBot="1" x14ac:dyDescent="0.35">
      <c r="B31" s="101" t="s">
        <v>38</v>
      </c>
      <c r="C31" s="207" t="s">
        <v>88</v>
      </c>
      <c r="D31" s="165" t="s">
        <v>41</v>
      </c>
      <c r="E31" s="208" t="s">
        <v>39</v>
      </c>
      <c r="F31" s="105" t="s">
        <v>131</v>
      </c>
      <c r="G31" s="205" t="s">
        <v>42</v>
      </c>
      <c r="H31" s="209" t="s">
        <v>43</v>
      </c>
      <c r="I31" s="105" t="s">
        <v>17</v>
      </c>
      <c r="J31" s="203" t="s">
        <v>110</v>
      </c>
      <c r="K31" s="208" t="s">
        <v>111</v>
      </c>
      <c r="L31" s="205" t="s">
        <v>105</v>
      </c>
      <c r="M31" s="205" t="s">
        <v>112</v>
      </c>
      <c r="N31" s="106" t="s">
        <v>104</v>
      </c>
      <c r="O31" s="204" t="s">
        <v>50</v>
      </c>
      <c r="P31" s="1"/>
      <c r="Q31" s="318" t="s">
        <v>108</v>
      </c>
      <c r="R31" s="318" t="s">
        <v>106</v>
      </c>
      <c r="S31" s="318" t="s">
        <v>107</v>
      </c>
      <c r="T31" s="318" t="s">
        <v>109</v>
      </c>
      <c r="U31" s="318" t="s">
        <v>100</v>
      </c>
      <c r="V31" s="318" t="s">
        <v>101</v>
      </c>
      <c r="W31" s="305"/>
      <c r="X31" s="256" t="s">
        <v>72</v>
      </c>
      <c r="Y31" s="256" t="s">
        <v>73</v>
      </c>
      <c r="Z31" s="247"/>
      <c r="AA31" s="256" t="s">
        <v>66</v>
      </c>
      <c r="AB31" s="256" t="s">
        <v>67</v>
      </c>
      <c r="AC31" s="76"/>
      <c r="AD31" s="263"/>
      <c r="AE31" s="263"/>
      <c r="AF31" s="263"/>
    </row>
    <row r="32" spans="2:33" ht="20.100000000000001" customHeight="1" thickTop="1" thickBot="1" x14ac:dyDescent="0.35">
      <c r="B32" s="521" t="s">
        <v>99</v>
      </c>
      <c r="C32" s="210">
        <v>1</v>
      </c>
      <c r="D32" s="211">
        <v>1</v>
      </c>
      <c r="E32" s="211">
        <v>1</v>
      </c>
      <c r="F32" s="212">
        <v>12</v>
      </c>
      <c r="G32" s="212">
        <v>2</v>
      </c>
      <c r="H32" s="212">
        <v>2</v>
      </c>
      <c r="I32" s="210">
        <v>1</v>
      </c>
      <c r="J32" s="522">
        <v>2</v>
      </c>
      <c r="K32" s="523">
        <v>12</v>
      </c>
      <c r="L32" s="523">
        <v>2</v>
      </c>
      <c r="M32" s="523">
        <v>1</v>
      </c>
      <c r="N32" s="522"/>
      <c r="O32" s="524">
        <v>2</v>
      </c>
      <c r="P32" s="7"/>
      <c r="Q32" s="333">
        <f>(LARGE(Table139111271513[[#This Row],[ Number of
Beginning Lanes]]:Table139111271513[[#This Row],[ Number of
Ending Lanes]],1))*Table139111271513[[#This Row],[Through Lanes Width (ft)]]+Table139111271513[[#This Row],[Right Through
 Shoulder Clear Width (ft)]]+Table139111271513[[#This Row],[Left Through
 Shoulder Clear
Width (ft)]]</f>
        <v>16</v>
      </c>
      <c r="R32" s="333">
        <f>IF(OR(Table139111271513[[#This Row],[Number Through Lanes Cleared Left]]="",Table139111271513[[#This Row],[Number Through Lanes Cleared Left]]=0),Table139111271513[[#This Row],[Through Lanes Width (ft)]]*LARGE(Table139111271513[[#This Row],[ Number of
Beginning Lanes]:[ Number of
Ending Lanes]],1)+Table139111271513[[#This Row],[Right Through
 Shoulder Clear Width (ft)]]+Table139111271513[[#This Row],[Left Through
 Shoulder Clear
Width (ft)]],Table139111271513[[#This Row],[Through Lanes Width (ft)]]*(LARGE(Table139111271513[[#This Row],[ Number of
Beginning Lanes]:[ Number of
Ending Lanes]],1)-Table139111271513[[#This Row],[Number Through Lanes Cleared Left]])+Table139111271513[[#This Row],[Left Through
 Shoulder Clear
Width (ft)]])-IF(LARGE(Table139111271513[[#This Row],[ Number of
Beginning Lanes]:[ Number of
Ending Lanes]],1)=Table139111271513[[#This Row],[Number Through Lanes Cleared Left]],Table139111271513[[#This Row],[Right Through
 Shoulder Clear Width (ft)]],0)</f>
        <v>0</v>
      </c>
      <c r="S32" s="333">
        <f>Q32-R32</f>
        <v>16</v>
      </c>
      <c r="T32" s="333">
        <f>Table139111271513[[#This Row],[Number of
Diverge Lanes]]*Table139111271513[[#This Row],[Width of
Diverge Lanes (ft)]]+Table139111271513[[#This Row],[Right Diverge Shoulder Clear Width (ft)]]+Table139111271513[[#This Row],[Left Diverge
Shoulder Clear Width (ft)]]+Table139111271513[[#This Row],[Windrow Mitigation Width (ft)]]</f>
        <v>29</v>
      </c>
      <c r="U32" s="333">
        <f>T32-V32</f>
        <v>29</v>
      </c>
      <c r="V32" s="333">
        <f>IF(OR(Table139111271513[[#This Row],[Number Diverge Lanes Cleared Left]]="",Table139111271513[[#This Row],[Number Diverge Lanes Cleared Left]]=0),0,(Table139111271513[[#This Row],[Number Diverge Lanes Cleared Left]]*Table139111271513[[#This Row],[Width of
Diverge Lanes (ft)]])+Table139111271513[[#This Row],[Right Diverge Shoulder Clear Width (ft)]]+Table139111271513[[#This Row],[Windrow Mitigation Width (ft)]])+IF(Table139111271513[[#This Row],[Number Diverge Lanes Cleared Left]]=Table139111271513[[#This Row],[Number of
Diverge Lanes]],Table139111271513[[#This Row],[Left Diverge
Shoulder Clear Width (ft)]],0)</f>
        <v>0</v>
      </c>
      <c r="W32" s="336"/>
      <c r="X32" s="248" t="e">
        <f>LARGE(R32:R34,1)</f>
        <v>#NUM!</v>
      </c>
      <c r="Y32" s="248" t="e">
        <f>LARGE(S32:S34,1)</f>
        <v>#NUM!</v>
      </c>
      <c r="Z32" s="247"/>
      <c r="AA32" s="248">
        <f>LARGE(U32:U34,1)</f>
        <v>29</v>
      </c>
      <c r="AB32" s="248">
        <f>LARGE(V32:V34,1)</f>
        <v>16</v>
      </c>
      <c r="AC32" s="76"/>
      <c r="AD32" s="263"/>
      <c r="AE32" s="263"/>
      <c r="AF32" s="263"/>
    </row>
    <row r="33" spans="2:32" ht="20.100000000000001" customHeight="1" thickBot="1" x14ac:dyDescent="0.35">
      <c r="B33" s="135" t="s">
        <v>98</v>
      </c>
      <c r="C33" s="189">
        <v>2</v>
      </c>
      <c r="D33" s="190">
        <v>2</v>
      </c>
      <c r="E33" s="190">
        <v>2</v>
      </c>
      <c r="F33" s="191">
        <v>12</v>
      </c>
      <c r="G33" s="191">
        <v>2</v>
      </c>
      <c r="H33" s="191">
        <v>2</v>
      </c>
      <c r="I33" s="192"/>
      <c r="J33" s="192">
        <v>2</v>
      </c>
      <c r="K33" s="191">
        <v>12</v>
      </c>
      <c r="L33" s="191">
        <v>2</v>
      </c>
      <c r="M33" s="191">
        <v>2</v>
      </c>
      <c r="N33" s="192">
        <v>1</v>
      </c>
      <c r="O33" s="194">
        <v>2</v>
      </c>
      <c r="P33" s="1"/>
      <c r="Q33" s="333">
        <f>(LARGE(Table139111271513[[#This Row],[ Number of
Beginning Lanes]]:Table139111271513[[#This Row],[ Number of
Ending Lanes]],1))*Table139111271513[[#This Row],[Through Lanes Width (ft)]]+Table139111271513[[#This Row],[Right Through
 Shoulder Clear Width (ft)]]+Table139111271513[[#This Row],[Left Through
 Shoulder Clear
Width (ft)]]</f>
        <v>28</v>
      </c>
      <c r="R33" s="333">
        <f>IF(OR(Table139111271513[[#This Row],[Number Through Lanes Cleared Left]]="",Table139111271513[[#This Row],[Number Through Lanes Cleared Left]]=0),Table139111271513[[#This Row],[Through Lanes Width (ft)]]*LARGE(Table139111271513[[#This Row],[ Number of
Beginning Lanes]:[ Number of
Ending Lanes]],1)+Table139111271513[[#This Row],[Right Through
 Shoulder Clear Width (ft)]]+Table139111271513[[#This Row],[Left Through
 Shoulder Clear
Width (ft)]],Table139111271513[[#This Row],[Through Lanes Width (ft)]]*(LARGE(Table139111271513[[#This Row],[ Number of
Beginning Lanes]:[ Number of
Ending Lanes]],1)-Table139111271513[[#This Row],[Number Through Lanes Cleared Left]])+Table139111271513[[#This Row],[Left Through
 Shoulder Clear
Width (ft)]])-IF(LARGE(Table139111271513[[#This Row],[ Number of
Beginning Lanes]:[ Number of
Ending Lanes]],1)=Table139111271513[[#This Row],[Number Through Lanes Cleared Left]],Table139111271513[[#This Row],[Right Through
 Shoulder Clear Width (ft)]],0)</f>
        <v>28</v>
      </c>
      <c r="S33" s="333">
        <f>Q33-R33</f>
        <v>0</v>
      </c>
      <c r="T33" s="333">
        <f>Table139111271513[[#This Row],[Number of
Diverge Lanes]]*Table139111271513[[#This Row],[Width of
Diverge Lanes (ft)]]+Table139111271513[[#This Row],[Right Diverge Shoulder Clear Width (ft)]]+Table139111271513[[#This Row],[Left Diverge
Shoulder Clear Width (ft)]]+Table139111271513[[#This Row],[Windrow Mitigation Width (ft)]]</f>
        <v>30</v>
      </c>
      <c r="U33" s="333">
        <f>T33-V33</f>
        <v>14</v>
      </c>
      <c r="V33" s="333">
        <f>IF(OR(Table139111271513[[#This Row],[Number Diverge Lanes Cleared Left]]="",Table139111271513[[#This Row],[Number Diverge Lanes Cleared Left]]=0),0,(Table139111271513[[#This Row],[Number Diverge Lanes Cleared Left]]*Table139111271513[[#This Row],[Width of
Diverge Lanes (ft)]])+Table139111271513[[#This Row],[Right Diverge Shoulder Clear Width (ft)]]+Table139111271513[[#This Row],[Windrow Mitigation Width (ft)]])+IF(Table139111271513[[#This Row],[Number Diverge Lanes Cleared Left]]=Table139111271513[[#This Row],[Number of
Diverge Lanes]],Table139111271513[[#This Row],[Left Diverge
Shoulder Clear Width (ft)]],0)</f>
        <v>16</v>
      </c>
      <c r="W33" s="336"/>
      <c r="X33" s="302"/>
      <c r="Y33" s="182"/>
      <c r="Z33" s="182"/>
      <c r="AA33" s="182"/>
      <c r="AB33" s="182"/>
      <c r="AC33" s="76"/>
      <c r="AD33" s="263"/>
      <c r="AE33" s="263"/>
      <c r="AF33" s="263"/>
    </row>
    <row r="34" spans="2:32" ht="20.100000000000001" customHeight="1" thickBot="1" x14ac:dyDescent="0.35">
      <c r="B34" s="554"/>
      <c r="C34" s="213"/>
      <c r="D34" s="214"/>
      <c r="E34" s="214"/>
      <c r="F34" s="215"/>
      <c r="G34" s="215"/>
      <c r="H34" s="215"/>
      <c r="I34" s="216"/>
      <c r="J34" s="525"/>
      <c r="K34" s="526"/>
      <c r="L34" s="526"/>
      <c r="M34" s="526"/>
      <c r="N34" s="525"/>
      <c r="O34" s="527"/>
      <c r="P34" s="1"/>
      <c r="Q34" s="333" t="e">
        <f>(LARGE(Table139111271513[[#This Row],[ Number of
Beginning Lanes]]:Table139111271513[[#This Row],[ Number of
Ending Lanes]],1))*Table139111271513[[#This Row],[Through Lanes Width (ft)]]+Table139111271513[[#This Row],[Right Through
 Shoulder Clear Width (ft)]]+Table139111271513[[#This Row],[Left Through
 Shoulder Clear
Width (ft)]]</f>
        <v>#NUM!</v>
      </c>
      <c r="R34" s="333" t="e">
        <f>IF(OR(Table139111271513[[#This Row],[Number Through Lanes Cleared Left]]="",Table139111271513[[#This Row],[Number Through Lanes Cleared Left]]=0),Table139111271513[[#This Row],[Through Lanes Width (ft)]]*LARGE(Table139111271513[[#This Row],[ Number of
Beginning Lanes]:[ Number of
Ending Lanes]],1)+Table139111271513[[#This Row],[Right Through
 Shoulder Clear Width (ft)]]+Table139111271513[[#This Row],[Left Through
 Shoulder Clear
Width (ft)]],Table139111271513[[#This Row],[Through Lanes Width (ft)]]*(LARGE(Table139111271513[[#This Row],[ Number of
Beginning Lanes]:[ Number of
Ending Lanes]],1)-Table139111271513[[#This Row],[Number Through Lanes Cleared Left]])+Table139111271513[[#This Row],[Left Through
 Shoulder Clear
Width (ft)]])-IF(LARGE(Table139111271513[[#This Row],[ Number of
Beginning Lanes]:[ Number of
Ending Lanes]],1)=Table139111271513[[#This Row],[Number Through Lanes Cleared Left]],Table139111271513[[#This Row],[Right Through
 Shoulder Clear Width (ft)]],0)</f>
        <v>#NUM!</v>
      </c>
      <c r="S34" s="333" t="e">
        <f>Q34-R34</f>
        <v>#NUM!</v>
      </c>
      <c r="T34" s="333">
        <f>Table139111271513[[#This Row],[Number of
Diverge Lanes]]*Table139111271513[[#This Row],[Width of
Diverge Lanes (ft)]]+Table139111271513[[#This Row],[Right Diverge Shoulder Clear Width (ft)]]+Table139111271513[[#This Row],[Left Diverge
Shoulder Clear Width (ft)]]+Table139111271513[[#This Row],[Windrow Mitigation Width (ft)]]</f>
        <v>0</v>
      </c>
      <c r="U34" s="333">
        <f>T34-V34</f>
        <v>0</v>
      </c>
      <c r="V34" s="333">
        <f>IF(OR(Table139111271513[[#This Row],[Number Diverge Lanes Cleared Left]]="",Table139111271513[[#This Row],[Number Diverge Lanes Cleared Left]]=0),0,(Table139111271513[[#This Row],[Number Diverge Lanes Cleared Left]]*Table139111271513[[#This Row],[Width of
Diverge Lanes (ft)]])+Table139111271513[[#This Row],[Right Diverge Shoulder Clear Width (ft)]]+Table139111271513[[#This Row],[Windrow Mitigation Width (ft)]])+IF(Table139111271513[[#This Row],[Number Diverge Lanes Cleared Left]]=Table139111271513[[#This Row],[Number of
Diverge Lanes]],Table139111271513[[#This Row],[Left Diverge
Shoulder Clear Width (ft)]],0)</f>
        <v>0</v>
      </c>
      <c r="W34" s="336"/>
      <c r="X34" s="302"/>
      <c r="Y34" s="182"/>
      <c r="Z34" s="182"/>
      <c r="AA34" s="182"/>
      <c r="AB34" s="182"/>
      <c r="AC34" s="76"/>
      <c r="AD34" s="263"/>
      <c r="AE34" s="263"/>
      <c r="AF34" s="263"/>
    </row>
    <row r="35" spans="2:32" ht="15" customHeight="1" thickBot="1" x14ac:dyDescent="0.35">
      <c r="O35" s="8"/>
      <c r="Q35" s="182"/>
      <c r="R35" s="182"/>
      <c r="S35" s="302"/>
      <c r="T35" s="302"/>
      <c r="U35" s="302"/>
      <c r="V35" s="302"/>
      <c r="W35" s="182"/>
      <c r="X35" s="182"/>
      <c r="Y35" s="182"/>
      <c r="Z35" s="182"/>
      <c r="AA35" s="182"/>
      <c r="AB35" s="182"/>
      <c r="AC35" s="76"/>
      <c r="AD35" s="263"/>
      <c r="AE35" s="263"/>
      <c r="AF35" s="263"/>
    </row>
    <row r="36" spans="2:32" ht="24.9" customHeight="1" thickBot="1" x14ac:dyDescent="0.35">
      <c r="B36" s="756" t="s">
        <v>96</v>
      </c>
      <c r="C36" s="756"/>
      <c r="D36" s="756"/>
      <c r="E36" s="756"/>
      <c r="F36" s="756"/>
      <c r="G36" s="756"/>
      <c r="H36" s="756"/>
      <c r="I36" s="342"/>
      <c r="J36" s="732" t="s">
        <v>47</v>
      </c>
      <c r="K36" s="732"/>
      <c r="L36" s="732"/>
      <c r="M36" s="270"/>
      <c r="N36" s="270"/>
      <c r="O36" s="270"/>
      <c r="P36" s="263"/>
      <c r="Q36" s="303"/>
      <c r="R36" s="303"/>
      <c r="S36" s="303"/>
      <c r="T36" s="303"/>
      <c r="U36" s="303"/>
      <c r="V36" s="303"/>
      <c r="W36" s="182"/>
      <c r="X36" s="742" t="s">
        <v>80</v>
      </c>
      <c r="Y36" s="742"/>
      <c r="Z36" s="182"/>
      <c r="AA36" s="182"/>
      <c r="AB36" s="182"/>
      <c r="AC36" s="76"/>
      <c r="AD36" s="263"/>
      <c r="AE36" s="263"/>
      <c r="AF36" s="263"/>
    </row>
    <row r="37" spans="2:32" s="1" customFormat="1" ht="50.1" customHeight="1" thickTop="1" thickBot="1" x14ac:dyDescent="0.35">
      <c r="B37" s="101" t="s">
        <v>38</v>
      </c>
      <c r="C37" s="203" t="s">
        <v>48</v>
      </c>
      <c r="D37" s="205" t="s">
        <v>49</v>
      </c>
      <c r="E37" s="205" t="s">
        <v>54</v>
      </c>
      <c r="F37" s="205" t="s">
        <v>53</v>
      </c>
      <c r="G37" s="203" t="s">
        <v>55</v>
      </c>
      <c r="H37" s="204" t="s">
        <v>50</v>
      </c>
      <c r="I37" s="363"/>
      <c r="J37" s="364" t="s">
        <v>56</v>
      </c>
      <c r="K37" s="364" t="s">
        <v>52</v>
      </c>
      <c r="L37" s="364" t="s">
        <v>51</v>
      </c>
      <c r="M37" s="275"/>
      <c r="N37" s="275"/>
      <c r="O37" s="275"/>
      <c r="P37" s="279"/>
      <c r="Q37" s="337"/>
      <c r="R37" s="338"/>
      <c r="S37" s="337"/>
      <c r="T37" s="337"/>
      <c r="U37" s="182"/>
      <c r="V37" s="182"/>
      <c r="W37" s="182"/>
      <c r="X37" s="256" t="s">
        <v>74</v>
      </c>
      <c r="Y37" s="256" t="s">
        <v>75</v>
      </c>
      <c r="Z37" s="337"/>
      <c r="AA37" s="337"/>
      <c r="AB37" s="182"/>
      <c r="AC37" s="76"/>
      <c r="AD37" s="263"/>
      <c r="AE37" s="263"/>
      <c r="AF37" s="263"/>
    </row>
    <row r="38" spans="2:32" ht="20.100000000000001" customHeight="1" thickTop="1" thickBot="1" x14ac:dyDescent="0.35">
      <c r="B38" s="528" t="s">
        <v>97</v>
      </c>
      <c r="C38" s="530">
        <v>2</v>
      </c>
      <c r="D38" s="531">
        <v>10</v>
      </c>
      <c r="E38" s="531">
        <v>2</v>
      </c>
      <c r="F38" s="531">
        <v>1</v>
      </c>
      <c r="G38" s="532">
        <v>0</v>
      </c>
      <c r="H38" s="533">
        <v>2</v>
      </c>
      <c r="I38" s="363"/>
      <c r="J38" s="365">
        <f>Table13911127151316[[#This Row],[Number of
Roundabout
Lanes]]*Table13911127151316[[#This Row],[Width of
Roundabout
Lanes (ft)]]+Table13911127151316[[#This Row],[Right Roundabout Shoulder Clear Width (ft)]]+Table13911127151316[[#This Row],[Left Roundabout Shoulder Clear Width (ft)]]+Table13911127151316[[#This Row],[Windrow Mitigation Width (ft)]]</f>
        <v>25</v>
      </c>
      <c r="K38" s="365">
        <f>J38-L38</f>
        <v>25</v>
      </c>
      <c r="L38" s="365">
        <f>IF(OR(Table13911127151316[[#This Row],[Roundabout Left Clear Lanes]]="",Table13911127151316[[#This Row],[Roundabout Left Clear Lanes]]=0),0,Table13911127151316[[#This Row],[Roundabout Left Clear Lanes]]*Table13911127151316[[#This Row],[Width of
Roundabout
Lanes (ft)]]+Table13911127151316[[#This Row],[Left Roundabout Shoulder Clear Width (ft)]])+IF(Table13911127151316[[#This Row],[Roundabout Left Clear Lanes]]=Table13911127151316[[#This Row],[Number of
Roundabout
Lanes]],Table13911127151316[[#This Row],[Right Roundabout Shoulder Clear Width (ft)]]+Table13911127151316[[#This Row],[Windrow Mitigation Width (ft)]],0)</f>
        <v>0</v>
      </c>
      <c r="M38" s="280"/>
      <c r="N38" s="281"/>
      <c r="O38" s="281"/>
      <c r="P38" s="282"/>
      <c r="Q38" s="339"/>
      <c r="R38" s="182"/>
      <c r="S38" s="293"/>
      <c r="T38" s="293"/>
      <c r="U38" s="182"/>
      <c r="V38" s="182"/>
      <c r="W38" s="182"/>
      <c r="X38" s="248">
        <f>LARGE(K38:K40,1)</f>
        <v>25</v>
      </c>
      <c r="Y38" s="248">
        <f>LARGE(L38:L40,1)</f>
        <v>0</v>
      </c>
      <c r="Z38" s="340"/>
      <c r="AA38" s="340"/>
      <c r="AB38" s="182"/>
      <c r="AC38" s="76"/>
      <c r="AD38" s="263"/>
      <c r="AE38" s="263"/>
      <c r="AF38" s="263"/>
    </row>
    <row r="39" spans="2:32" ht="20.100000000000001" customHeight="1" thickBot="1" x14ac:dyDescent="0.35">
      <c r="B39" s="206"/>
      <c r="C39" s="190"/>
      <c r="D39" s="191"/>
      <c r="E39" s="191"/>
      <c r="F39" s="191"/>
      <c r="G39" s="192"/>
      <c r="H39" s="194"/>
      <c r="I39" s="249"/>
      <c r="J39" s="365">
        <f>Table13911127151316[[#This Row],[Number of
Roundabout
Lanes]]*Table13911127151316[[#This Row],[Width of
Roundabout
Lanes (ft)]]+Table13911127151316[[#This Row],[Right Roundabout Shoulder Clear Width (ft)]]+Table13911127151316[[#This Row],[Left Roundabout Shoulder Clear Width (ft)]]+Table13911127151316[[#This Row],[Windrow Mitigation Width (ft)]]</f>
        <v>0</v>
      </c>
      <c r="K39" s="365">
        <f>J39-L39</f>
        <v>0</v>
      </c>
      <c r="L39" s="365">
        <f>IF(OR(Table13911127151316[[#This Row],[Roundabout Left Clear Lanes]]="",Table13911127151316[[#This Row],[Roundabout Left Clear Lanes]]=0),0,Table13911127151316[[#This Row],[Roundabout Left Clear Lanes]]*Table13911127151316[[#This Row],[Width of
Roundabout
Lanes (ft)]]+Table13911127151316[[#This Row],[Left Roundabout Shoulder Clear Width (ft)]])+IF(Table13911127151316[[#This Row],[Roundabout Left Clear Lanes]]=Table13911127151316[[#This Row],[Number of
Roundabout
Lanes]],Table13911127151316[[#This Row],[Right Roundabout Shoulder Clear Width (ft)]]+Table13911127151316[[#This Row],[Windrow Mitigation Width (ft)]],0)</f>
        <v>0</v>
      </c>
      <c r="M39" s="280"/>
      <c r="N39" s="281"/>
      <c r="O39" s="281"/>
      <c r="P39" s="264"/>
      <c r="Q39" s="76"/>
      <c r="R39" s="76"/>
      <c r="S39" s="76"/>
      <c r="T39" s="76"/>
      <c r="U39" s="76"/>
      <c r="V39" s="76"/>
      <c r="W39" s="76"/>
      <c r="X39" s="341"/>
      <c r="Y39" s="341"/>
      <c r="Z39" s="77"/>
      <c r="AA39" s="76"/>
      <c r="AB39" s="76"/>
      <c r="AC39" s="76"/>
      <c r="AD39" s="263"/>
      <c r="AE39" s="263"/>
      <c r="AF39" s="263"/>
    </row>
    <row r="40" spans="2:32" ht="20.100000000000001" customHeight="1" thickBot="1" x14ac:dyDescent="0.35">
      <c r="B40" s="529"/>
      <c r="C40" s="534"/>
      <c r="D40" s="535"/>
      <c r="E40" s="535"/>
      <c r="F40" s="535"/>
      <c r="G40" s="536"/>
      <c r="H40" s="537"/>
      <c r="I40" s="249"/>
      <c r="J40" s="365">
        <f>Table13911127151316[[#This Row],[Number of
Roundabout
Lanes]]*Table13911127151316[[#This Row],[Width of
Roundabout
Lanes (ft)]]+Table13911127151316[[#This Row],[Right Roundabout Shoulder Clear Width (ft)]]+Table13911127151316[[#This Row],[Left Roundabout Shoulder Clear Width (ft)]]+Table13911127151316[[#This Row],[Windrow Mitigation Width (ft)]]</f>
        <v>0</v>
      </c>
      <c r="K40" s="365">
        <f>J40-L40</f>
        <v>0</v>
      </c>
      <c r="L40" s="365">
        <f>IF(OR(Table13911127151316[[#This Row],[Roundabout Left Clear Lanes]]="",Table13911127151316[[#This Row],[Roundabout Left Clear Lanes]]=0),0,Table13911127151316[[#This Row],[Roundabout Left Clear Lanes]]*Table13911127151316[[#This Row],[Width of
Roundabout
Lanes (ft)]]+Table13911127151316[[#This Row],[Left Roundabout Shoulder Clear Width (ft)]])+IF(Table13911127151316[[#This Row],[Roundabout Left Clear Lanes]]=Table13911127151316[[#This Row],[Number of
Roundabout
Lanes]],Table13911127151316[[#This Row],[Right Roundabout Shoulder Clear Width (ft)]]+Table13911127151316[[#This Row],[Windrow Mitigation Width (ft)]],0)</f>
        <v>0</v>
      </c>
      <c r="M40" s="280"/>
      <c r="N40" s="281"/>
      <c r="O40" s="281"/>
      <c r="P40" s="264"/>
      <c r="Q40" s="76"/>
      <c r="R40" s="76"/>
      <c r="S40" s="76"/>
      <c r="T40" s="76"/>
      <c r="U40" s="76"/>
      <c r="V40" s="76"/>
      <c r="W40" s="76"/>
      <c r="X40" s="341"/>
      <c r="Y40" s="341"/>
      <c r="Z40" s="76"/>
      <c r="AA40" s="76"/>
      <c r="AB40" s="76"/>
      <c r="AC40" s="76"/>
      <c r="AD40" s="263"/>
      <c r="AE40" s="263"/>
      <c r="AF40" s="263"/>
    </row>
    <row r="41" spans="2:32" ht="15" customHeight="1" x14ac:dyDescent="0.3">
      <c r="B41" s="6"/>
      <c r="C41" s="6"/>
      <c r="D41" s="6"/>
      <c r="F41" s="39"/>
      <c r="G41" s="39"/>
      <c r="H41" s="39"/>
      <c r="I41" s="280"/>
      <c r="J41" s="267"/>
      <c r="K41" s="267"/>
      <c r="L41" s="267"/>
      <c r="M41" s="264"/>
      <c r="N41" s="264"/>
      <c r="O41" s="263"/>
      <c r="P41" s="264"/>
      <c r="Q41" s="263"/>
      <c r="R41" s="263"/>
      <c r="S41" s="264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</row>
    <row r="42" spans="2:32" ht="34.5" customHeight="1" x14ac:dyDescent="0.3">
      <c r="B42" s="6"/>
      <c r="C42" s="6"/>
      <c r="D42" s="6"/>
      <c r="E42" s="4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78"/>
      <c r="Y42" s="278"/>
      <c r="Z42" s="263"/>
      <c r="AA42" s="278"/>
      <c r="AB42" s="278"/>
      <c r="AC42" s="263"/>
      <c r="AD42" s="263"/>
      <c r="AE42" s="263"/>
      <c r="AF42" s="263"/>
    </row>
    <row r="43" spans="2:32" ht="20.100000000000001" customHeight="1" x14ac:dyDescent="0.3">
      <c r="B43" s="6"/>
      <c r="C43" s="6"/>
      <c r="D43" s="6"/>
      <c r="I43" s="266"/>
      <c r="J43" s="263"/>
      <c r="K43" s="266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75"/>
      <c r="W43" s="75"/>
      <c r="X43" s="78"/>
      <c r="Y43" s="78"/>
      <c r="Z43" s="78"/>
      <c r="AA43" s="78"/>
      <c r="AB43" s="75"/>
      <c r="AC43" s="75"/>
      <c r="AD43" s="75"/>
      <c r="AE43" s="75"/>
    </row>
    <row r="44" spans="2:32" ht="20.100000000000001" customHeight="1" x14ac:dyDescent="0.3">
      <c r="B44" s="6"/>
      <c r="C44" s="6"/>
      <c r="D44" s="6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75"/>
      <c r="W44" s="75"/>
      <c r="X44" s="75"/>
      <c r="Y44" s="75"/>
      <c r="Z44" s="75"/>
      <c r="AA44" s="75"/>
      <c r="AB44" s="75"/>
      <c r="AC44" s="75"/>
      <c r="AD44" s="75"/>
      <c r="AE44" s="75"/>
    </row>
    <row r="45" spans="2:32" ht="20.100000000000001" customHeight="1" x14ac:dyDescent="0.3">
      <c r="B45" s="6"/>
      <c r="C45" s="6"/>
      <c r="D45" s="6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</row>
    <row r="46" spans="2:32" ht="20.100000000000001" customHeight="1" x14ac:dyDescent="0.3">
      <c r="B46" s="6"/>
      <c r="C46" s="6"/>
      <c r="D46" s="6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4"/>
      <c r="T46" s="263"/>
      <c r="U46" s="263"/>
    </row>
    <row r="47" spans="2:32" ht="20.100000000000001" customHeight="1" x14ac:dyDescent="0.3">
      <c r="B47" s="6"/>
      <c r="C47" s="6"/>
      <c r="D47" s="6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</row>
    <row r="48" spans="2:32" ht="20.100000000000001" customHeight="1" x14ac:dyDescent="0.3">
      <c r="B48" s="6"/>
      <c r="C48" s="6"/>
      <c r="D48" s="6"/>
    </row>
    <row r="49" spans="2:4" x14ac:dyDescent="0.3">
      <c r="B49" s="6"/>
      <c r="C49" s="6"/>
      <c r="D49" s="6"/>
    </row>
    <row r="50" spans="2:4" x14ac:dyDescent="0.3">
      <c r="B50" s="6"/>
      <c r="C50" s="6"/>
      <c r="D50" s="6"/>
    </row>
    <row r="51" spans="2:4" x14ac:dyDescent="0.3">
      <c r="B51" s="6"/>
      <c r="C51" s="6"/>
      <c r="D51" s="6"/>
    </row>
    <row r="52" spans="2:4" x14ac:dyDescent="0.3">
      <c r="B52" s="6"/>
      <c r="C52" s="6"/>
      <c r="D52" s="6"/>
    </row>
    <row r="53" spans="2:4" x14ac:dyDescent="0.3">
      <c r="B53" s="6"/>
      <c r="C53" s="6"/>
      <c r="D53" s="6"/>
    </row>
    <row r="54" spans="2:4" x14ac:dyDescent="0.3">
      <c r="B54" s="6"/>
      <c r="C54" s="6"/>
      <c r="D54" s="6"/>
    </row>
    <row r="55" spans="2:4" x14ac:dyDescent="0.3">
      <c r="B55" s="6"/>
      <c r="C55" s="6"/>
      <c r="D55" s="6"/>
    </row>
    <row r="56" spans="2:4" x14ac:dyDescent="0.3">
      <c r="B56" s="6"/>
      <c r="C56" s="6"/>
      <c r="D56" s="6"/>
    </row>
    <row r="57" spans="2:4" x14ac:dyDescent="0.3">
      <c r="B57" s="6"/>
      <c r="C57" s="6"/>
      <c r="D57" s="6"/>
    </row>
    <row r="58" spans="2:4" x14ac:dyDescent="0.3">
      <c r="B58" s="6"/>
      <c r="C58" s="6"/>
      <c r="D58" s="6"/>
    </row>
    <row r="59" spans="2:4" x14ac:dyDescent="0.3">
      <c r="B59" s="6"/>
      <c r="C59" s="6"/>
      <c r="D59" s="6"/>
    </row>
    <row r="60" spans="2:4" x14ac:dyDescent="0.3">
      <c r="B60" s="6"/>
      <c r="C60" s="6"/>
      <c r="D60" s="6"/>
    </row>
    <row r="61" spans="2:4" x14ac:dyDescent="0.3">
      <c r="B61" s="6"/>
      <c r="C61" s="6"/>
      <c r="D61" s="6"/>
    </row>
    <row r="62" spans="2:4" x14ac:dyDescent="0.3">
      <c r="B62" s="6"/>
      <c r="C62" s="6"/>
      <c r="D62" s="6"/>
    </row>
    <row r="63" spans="2:4" x14ac:dyDescent="0.3">
      <c r="B63" s="6"/>
      <c r="C63" s="6"/>
      <c r="D63" s="6"/>
    </row>
  </sheetData>
  <sheetProtection algorithmName="SHA-512" hashValue="ToJkzHN1is7S9aG2cOlXOXlfwb/SISzAigZLEW9IHslal8MMoQNLflH0d5Sy8bqm8YW5g30J0ZMfK5900dnJeA==" saltValue="quc1oiwKb7M0MlRxcjfVTw==" spinCount="100000" sheet="1" formatCells="0" formatColumns="0" formatRows="0" insertColumns="0" insertRows="0" insertHyperlinks="0" deleteColumns="0" deleteRows="0" selectLockedCells="1" sort="0" autoFilter="0" pivotTables="0"/>
  <mergeCells count="20">
    <mergeCell ref="X3:AB3"/>
    <mergeCell ref="X11:AB11"/>
    <mergeCell ref="X30:AB30"/>
    <mergeCell ref="X36:Y36"/>
    <mergeCell ref="U17:V17"/>
    <mergeCell ref="U21:V21"/>
    <mergeCell ref="U25:V25"/>
    <mergeCell ref="Q30:V30"/>
    <mergeCell ref="B36:H36"/>
    <mergeCell ref="J36:L36"/>
    <mergeCell ref="B1:E1"/>
    <mergeCell ref="B30:O30"/>
    <mergeCell ref="B17:D28"/>
    <mergeCell ref="O17:S28"/>
    <mergeCell ref="B3:O3"/>
    <mergeCell ref="Q3:V3"/>
    <mergeCell ref="F17:H28"/>
    <mergeCell ref="J17:M28"/>
    <mergeCell ref="B11:M11"/>
    <mergeCell ref="Q11:V11"/>
  </mergeCells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/>
  </sheetPr>
  <dimension ref="A1:D58"/>
  <sheetViews>
    <sheetView showGridLines="0" zoomScale="125" zoomScaleNormal="125" workbookViewId="0"/>
  </sheetViews>
  <sheetFormatPr defaultRowHeight="14.4" x14ac:dyDescent="0.3"/>
  <cols>
    <col min="1" max="1" width="9.109375" style="63"/>
    <col min="2" max="2" width="9.109375" style="64"/>
    <col min="3" max="3" width="23.6640625" style="92" customWidth="1"/>
    <col min="4" max="4" width="75.6640625" customWidth="1"/>
  </cols>
  <sheetData>
    <row r="1" spans="1:4" s="62" customFormat="1" ht="24.9" customHeight="1" thickBot="1" x14ac:dyDescent="0.35">
      <c r="A1" s="65" t="s">
        <v>217</v>
      </c>
      <c r="B1" s="69" t="s">
        <v>218</v>
      </c>
      <c r="C1" s="93" t="s">
        <v>257</v>
      </c>
      <c r="D1" s="96" t="s">
        <v>219</v>
      </c>
    </row>
    <row r="2" spans="1:4" x14ac:dyDescent="0.3">
      <c r="A2" s="63">
        <v>863.49829999999997</v>
      </c>
      <c r="B2" s="64">
        <v>10</v>
      </c>
      <c r="C2" s="92">
        <v>45</v>
      </c>
      <c r="D2" s="1" t="s">
        <v>245</v>
      </c>
    </row>
    <row r="3" spans="1:4" x14ac:dyDescent="0.3">
      <c r="A3" s="63">
        <v>1166.6036999999999</v>
      </c>
      <c r="B3" s="64">
        <v>16</v>
      </c>
      <c r="C3" s="92">
        <v>45</v>
      </c>
      <c r="D3" s="1" t="s">
        <v>246</v>
      </c>
    </row>
    <row r="4" spans="1:4" x14ac:dyDescent="0.3">
      <c r="A4" s="63">
        <v>1647.6141</v>
      </c>
      <c r="B4" s="64">
        <v>12</v>
      </c>
      <c r="C4" s="92">
        <v>45</v>
      </c>
      <c r="D4" s="1" t="s">
        <v>244</v>
      </c>
    </row>
    <row r="5" spans="1:4" x14ac:dyDescent="0.3">
      <c r="A5" s="63">
        <v>1726.9965999999999</v>
      </c>
      <c r="B5" s="64">
        <v>20</v>
      </c>
      <c r="C5" s="92">
        <v>45</v>
      </c>
      <c r="D5" s="1" t="s">
        <v>321</v>
      </c>
    </row>
    <row r="6" spans="1:4" x14ac:dyDescent="0.3">
      <c r="A6" s="63">
        <v>2030.1020000000001</v>
      </c>
      <c r="B6" s="64">
        <v>26</v>
      </c>
      <c r="C6" s="92">
        <v>45</v>
      </c>
      <c r="D6" s="1" t="s">
        <v>322</v>
      </c>
    </row>
    <row r="7" spans="1:4" x14ac:dyDescent="0.3">
      <c r="A7" s="63">
        <v>2333.2073999999998</v>
      </c>
      <c r="B7" s="64">
        <v>32</v>
      </c>
      <c r="C7" s="92">
        <v>45</v>
      </c>
      <c r="D7" s="1" t="s">
        <v>323</v>
      </c>
    </row>
    <row r="8" spans="1:4" x14ac:dyDescent="0.3">
      <c r="A8" s="63">
        <v>2511.1124</v>
      </c>
      <c r="B8" s="64">
        <v>22</v>
      </c>
      <c r="C8" s="92">
        <v>45</v>
      </c>
      <c r="D8" s="1" t="s">
        <v>258</v>
      </c>
    </row>
    <row r="9" spans="1:4" x14ac:dyDescent="0.3">
      <c r="A9" s="63">
        <v>2590.4949000000001</v>
      </c>
      <c r="B9" s="64">
        <v>30</v>
      </c>
      <c r="C9" s="92">
        <v>45</v>
      </c>
      <c r="D9" s="1" t="s">
        <v>328</v>
      </c>
    </row>
    <row r="10" spans="1:4" x14ac:dyDescent="0.3">
      <c r="A10" s="63">
        <v>2814.2177999999999</v>
      </c>
      <c r="B10" s="64">
        <v>28</v>
      </c>
      <c r="C10" s="92">
        <v>45</v>
      </c>
      <c r="D10" s="1" t="s">
        <v>259</v>
      </c>
    </row>
    <row r="11" spans="1:4" x14ac:dyDescent="0.3">
      <c r="A11" s="63">
        <v>2893.6003000000001</v>
      </c>
      <c r="B11" s="64">
        <v>36</v>
      </c>
      <c r="C11" s="92">
        <v>45</v>
      </c>
      <c r="D11" s="1" t="s">
        <v>260</v>
      </c>
    </row>
    <row r="12" spans="1:4" x14ac:dyDescent="0.3">
      <c r="A12" s="63">
        <v>3196.7057</v>
      </c>
      <c r="B12" s="64">
        <v>42</v>
      </c>
      <c r="C12" s="92">
        <v>45</v>
      </c>
      <c r="D12" s="1" t="s">
        <v>271</v>
      </c>
    </row>
    <row r="13" spans="1:4" x14ac:dyDescent="0.3">
      <c r="A13" s="63">
        <v>3374.6107000000002</v>
      </c>
      <c r="B13" s="64">
        <v>32</v>
      </c>
      <c r="C13" s="92">
        <v>45</v>
      </c>
      <c r="D13" s="1" t="s">
        <v>261</v>
      </c>
    </row>
    <row r="14" spans="1:4" x14ac:dyDescent="0.3">
      <c r="A14" s="63">
        <v>3677.7161000000001</v>
      </c>
      <c r="B14" s="64">
        <v>38</v>
      </c>
      <c r="C14" s="92">
        <v>45</v>
      </c>
      <c r="D14" s="1" t="s">
        <v>262</v>
      </c>
    </row>
    <row r="15" spans="1:4" x14ac:dyDescent="0.3">
      <c r="A15" s="63">
        <v>3757.0985999999998</v>
      </c>
      <c r="B15" s="64">
        <v>46</v>
      </c>
      <c r="C15" s="92">
        <v>45</v>
      </c>
      <c r="D15" s="1" t="s">
        <v>330</v>
      </c>
    </row>
    <row r="16" spans="1:4" x14ac:dyDescent="0.3">
      <c r="A16" s="63">
        <v>3980.8215</v>
      </c>
      <c r="B16" s="64">
        <v>44</v>
      </c>
      <c r="C16" s="92">
        <v>45</v>
      </c>
      <c r="D16" s="1" t="s">
        <v>281</v>
      </c>
    </row>
    <row r="17" spans="1:4" x14ac:dyDescent="0.3">
      <c r="A17" s="63">
        <v>4060.2040000000002</v>
      </c>
      <c r="B17" s="64">
        <v>52</v>
      </c>
      <c r="C17" s="92">
        <v>45</v>
      </c>
      <c r="D17" s="1" t="s">
        <v>282</v>
      </c>
    </row>
    <row r="18" spans="1:4" x14ac:dyDescent="0.3">
      <c r="A18" s="63">
        <v>4238.1090000000004</v>
      </c>
      <c r="B18" s="64">
        <v>42</v>
      </c>
      <c r="C18" s="92">
        <v>45</v>
      </c>
      <c r="D18" s="1" t="s">
        <v>331</v>
      </c>
    </row>
    <row r="19" spans="1:4" x14ac:dyDescent="0.3">
      <c r="A19" s="63">
        <v>4541.2143999999998</v>
      </c>
      <c r="B19" s="64">
        <v>48</v>
      </c>
      <c r="C19" s="92">
        <v>45</v>
      </c>
      <c r="D19" s="1" t="s">
        <v>263</v>
      </c>
    </row>
    <row r="20" spans="1:4" x14ac:dyDescent="0.3">
      <c r="A20" s="63">
        <v>4844.3198000000002</v>
      </c>
      <c r="B20" s="64">
        <v>54</v>
      </c>
      <c r="C20" s="92">
        <v>45</v>
      </c>
      <c r="D20" s="1" t="s">
        <v>293</v>
      </c>
    </row>
    <row r="21" spans="1:4" x14ac:dyDescent="0.3">
      <c r="A21" s="63">
        <v>4923.7022999999999</v>
      </c>
      <c r="B21" s="64">
        <v>62</v>
      </c>
      <c r="C21" s="92">
        <v>45</v>
      </c>
      <c r="D21" s="1" t="s">
        <v>334</v>
      </c>
    </row>
    <row r="22" spans="1:4" x14ac:dyDescent="0.3">
      <c r="A22" s="63">
        <v>5404.7127</v>
      </c>
      <c r="B22" s="64">
        <v>58</v>
      </c>
      <c r="C22" s="92">
        <v>45</v>
      </c>
      <c r="D22" s="1" t="s">
        <v>337</v>
      </c>
    </row>
    <row r="23" spans="1:4" x14ac:dyDescent="0.3">
      <c r="A23" s="63">
        <v>5707.8181000000004</v>
      </c>
      <c r="B23" s="64">
        <v>64</v>
      </c>
      <c r="C23" s="92">
        <v>45</v>
      </c>
      <c r="D23" s="1" t="s">
        <v>304</v>
      </c>
    </row>
    <row r="24" spans="1:4" x14ac:dyDescent="0.3">
      <c r="A24" s="63">
        <v>6571.3163999999997</v>
      </c>
      <c r="B24" s="64">
        <v>74</v>
      </c>
      <c r="C24" s="92">
        <v>45</v>
      </c>
      <c r="D24" s="1" t="s">
        <v>343</v>
      </c>
    </row>
    <row r="25" spans="1:4" x14ac:dyDescent="0.3">
      <c r="D25" s="1"/>
    </row>
    <row r="26" spans="1:4" x14ac:dyDescent="0.3">
      <c r="D26" s="1"/>
    </row>
    <row r="27" spans="1:4" x14ac:dyDescent="0.3">
      <c r="D27" s="1"/>
    </row>
    <row r="28" spans="1:4" x14ac:dyDescent="0.3">
      <c r="D28" s="1"/>
    </row>
    <row r="29" spans="1:4" x14ac:dyDescent="0.3">
      <c r="D29" s="1"/>
    </row>
    <row r="30" spans="1:4" x14ac:dyDescent="0.3">
      <c r="D30" s="1"/>
    </row>
    <row r="31" spans="1:4" x14ac:dyDescent="0.3">
      <c r="D31" s="1"/>
    </row>
    <row r="32" spans="1:4" x14ac:dyDescent="0.3">
      <c r="D32" s="1"/>
    </row>
    <row r="33" spans="4:4" x14ac:dyDescent="0.3">
      <c r="D33" s="1"/>
    </row>
    <row r="34" spans="4:4" x14ac:dyDescent="0.3">
      <c r="D34" s="1"/>
    </row>
    <row r="35" spans="4:4" x14ac:dyDescent="0.3">
      <c r="D35" s="1"/>
    </row>
    <row r="36" spans="4:4" x14ac:dyDescent="0.3">
      <c r="D36" s="1"/>
    </row>
    <row r="37" spans="4:4" x14ac:dyDescent="0.3">
      <c r="D37" s="1"/>
    </row>
    <row r="38" spans="4:4" x14ac:dyDescent="0.3">
      <c r="D38" s="1"/>
    </row>
    <row r="39" spans="4:4" x14ac:dyDescent="0.3">
      <c r="D39" s="1"/>
    </row>
    <row r="40" spans="4:4" x14ac:dyDescent="0.3">
      <c r="D40" s="1"/>
    </row>
    <row r="41" spans="4:4" x14ac:dyDescent="0.3">
      <c r="D41" s="1"/>
    </row>
    <row r="42" spans="4:4" x14ac:dyDescent="0.3">
      <c r="D42" s="1"/>
    </row>
    <row r="43" spans="4:4" x14ac:dyDescent="0.3">
      <c r="D43" s="1"/>
    </row>
    <row r="44" spans="4:4" x14ac:dyDescent="0.3">
      <c r="D44" s="1"/>
    </row>
    <row r="45" spans="4:4" x14ac:dyDescent="0.3">
      <c r="D45" s="1"/>
    </row>
    <row r="46" spans="4:4" x14ac:dyDescent="0.3">
      <c r="D46" s="1"/>
    </row>
    <row r="47" spans="4:4" x14ac:dyDescent="0.3">
      <c r="D47" s="1"/>
    </row>
    <row r="48" spans="4:4" x14ac:dyDescent="0.3">
      <c r="D48" s="1"/>
    </row>
    <row r="49" spans="4:4" x14ac:dyDescent="0.3">
      <c r="D49" s="1"/>
    </row>
    <row r="50" spans="4:4" x14ac:dyDescent="0.3">
      <c r="D50" s="1"/>
    </row>
    <row r="51" spans="4:4" x14ac:dyDescent="0.3">
      <c r="D51" s="1"/>
    </row>
    <row r="52" spans="4:4" x14ac:dyDescent="0.3">
      <c r="D52" s="1"/>
    </row>
    <row r="53" spans="4:4" x14ac:dyDescent="0.3">
      <c r="D53" s="1"/>
    </row>
    <row r="54" spans="4:4" x14ac:dyDescent="0.3">
      <c r="D54" s="1"/>
    </row>
    <row r="55" spans="4:4" x14ac:dyDescent="0.3">
      <c r="D55" s="1"/>
    </row>
    <row r="56" spans="4:4" x14ac:dyDescent="0.3">
      <c r="D56" s="1"/>
    </row>
    <row r="57" spans="4:4" x14ac:dyDescent="0.3">
      <c r="D57" s="1"/>
    </row>
    <row r="58" spans="4:4" x14ac:dyDescent="0.3">
      <c r="D58" s="1"/>
    </row>
  </sheetData>
  <sheetProtection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/>
  </sheetPr>
  <dimension ref="A1:D96"/>
  <sheetViews>
    <sheetView showGridLines="0" zoomScale="125" zoomScaleNormal="125" workbookViewId="0"/>
  </sheetViews>
  <sheetFormatPr defaultRowHeight="15.6" x14ac:dyDescent="0.3"/>
  <cols>
    <col min="1" max="1" width="10.109375" style="66" customWidth="1"/>
    <col min="2" max="2" width="9.109375" style="68"/>
    <col min="3" max="3" width="23.6640625" style="97" customWidth="1"/>
    <col min="4" max="4" width="75.6640625" customWidth="1"/>
  </cols>
  <sheetData>
    <row r="1" spans="1:4" s="62" customFormat="1" ht="24.9" customHeight="1" thickBot="1" x14ac:dyDescent="0.35">
      <c r="A1" s="65" t="s">
        <v>217</v>
      </c>
      <c r="B1" s="67" t="s">
        <v>218</v>
      </c>
      <c r="C1" s="93" t="s">
        <v>257</v>
      </c>
      <c r="D1" s="96" t="s">
        <v>219</v>
      </c>
    </row>
    <row r="2" spans="1:4" x14ac:dyDescent="0.3">
      <c r="A2" s="66">
        <v>863.49829999999997</v>
      </c>
      <c r="B2" s="68">
        <v>10</v>
      </c>
      <c r="C2" s="97">
        <v>45</v>
      </c>
      <c r="D2" t="s">
        <v>245</v>
      </c>
    </row>
    <row r="3" spans="1:4" x14ac:dyDescent="0.3">
      <c r="A3" s="66">
        <v>876.88239999999996</v>
      </c>
      <c r="B3" s="68">
        <v>12</v>
      </c>
      <c r="C3" s="97">
        <v>45</v>
      </c>
      <c r="D3" t="s">
        <v>264</v>
      </c>
    </row>
    <row r="4" spans="1:4" x14ac:dyDescent="0.3">
      <c r="A4" s="66">
        <v>1166.6036999999999</v>
      </c>
      <c r="B4" s="68">
        <v>10</v>
      </c>
      <c r="C4" s="97">
        <v>45</v>
      </c>
      <c r="D4" t="s">
        <v>246</v>
      </c>
    </row>
    <row r="5" spans="1:4" x14ac:dyDescent="0.3">
      <c r="A5" s="66">
        <v>1647.6141</v>
      </c>
      <c r="B5" s="68">
        <v>24</v>
      </c>
      <c r="C5" s="97">
        <v>45</v>
      </c>
      <c r="D5" t="s">
        <v>244</v>
      </c>
    </row>
    <row r="6" spans="1:4" x14ac:dyDescent="0.3">
      <c r="A6" s="66">
        <v>1726.9965999999999</v>
      </c>
      <c r="B6" s="68">
        <v>20</v>
      </c>
      <c r="C6" s="97">
        <v>45</v>
      </c>
      <c r="D6" t="s">
        <v>321</v>
      </c>
    </row>
    <row r="7" spans="1:4" x14ac:dyDescent="0.3">
      <c r="A7" s="66">
        <v>1740.3806999999999</v>
      </c>
      <c r="B7" s="68">
        <v>22</v>
      </c>
      <c r="C7" s="97">
        <v>45</v>
      </c>
      <c r="D7" t="s">
        <v>324</v>
      </c>
    </row>
    <row r="8" spans="1:4" x14ac:dyDescent="0.3">
      <c r="A8" s="66">
        <v>1753.7647999999999</v>
      </c>
      <c r="B8" s="68">
        <v>24</v>
      </c>
      <c r="C8" s="97">
        <v>45</v>
      </c>
      <c r="D8" t="s">
        <v>325</v>
      </c>
    </row>
    <row r="9" spans="1:4" x14ac:dyDescent="0.3">
      <c r="A9" s="66">
        <v>2030.1020000000001</v>
      </c>
      <c r="B9" s="68">
        <v>20</v>
      </c>
      <c r="C9" s="97">
        <v>45</v>
      </c>
      <c r="D9" t="s">
        <v>322</v>
      </c>
    </row>
    <row r="10" spans="1:4" x14ac:dyDescent="0.3">
      <c r="A10" s="66">
        <v>2043.4861000000001</v>
      </c>
      <c r="B10" s="68">
        <v>22</v>
      </c>
      <c r="C10" s="97">
        <v>45</v>
      </c>
      <c r="D10" t="s">
        <v>326</v>
      </c>
    </row>
    <row r="11" spans="1:4" x14ac:dyDescent="0.3">
      <c r="A11" s="66">
        <v>2333.2073999999998</v>
      </c>
      <c r="B11" s="68">
        <v>20</v>
      </c>
      <c r="C11" s="97">
        <v>45</v>
      </c>
      <c r="D11" t="s">
        <v>323</v>
      </c>
    </row>
    <row r="12" spans="1:4" x14ac:dyDescent="0.3">
      <c r="A12" s="66">
        <v>2511.1124</v>
      </c>
      <c r="B12" s="68">
        <v>34</v>
      </c>
      <c r="C12" s="97">
        <v>45</v>
      </c>
      <c r="D12" t="s">
        <v>258</v>
      </c>
    </row>
    <row r="13" spans="1:4" x14ac:dyDescent="0.3">
      <c r="A13" s="66">
        <v>2524.4965000000002</v>
      </c>
      <c r="B13" s="68">
        <v>36</v>
      </c>
      <c r="C13" s="97">
        <v>45</v>
      </c>
      <c r="D13" t="s">
        <v>265</v>
      </c>
    </row>
    <row r="14" spans="1:4" x14ac:dyDescent="0.3">
      <c r="A14" s="66">
        <v>2590.4949000000001</v>
      </c>
      <c r="B14" s="68">
        <v>30</v>
      </c>
      <c r="C14" s="97">
        <v>45</v>
      </c>
      <c r="D14" t="s">
        <v>328</v>
      </c>
    </row>
    <row r="15" spans="1:4" x14ac:dyDescent="0.3">
      <c r="A15" s="66">
        <v>2603.8789999999999</v>
      </c>
      <c r="B15" s="68">
        <v>32</v>
      </c>
      <c r="C15" s="97">
        <v>45</v>
      </c>
      <c r="D15" t="s">
        <v>266</v>
      </c>
    </row>
    <row r="16" spans="1:4" x14ac:dyDescent="0.3">
      <c r="A16" s="66">
        <v>2617.2631000000001</v>
      </c>
      <c r="B16" s="68">
        <v>34</v>
      </c>
      <c r="C16" s="97">
        <v>45</v>
      </c>
      <c r="D16" t="s">
        <v>267</v>
      </c>
    </row>
    <row r="17" spans="1:4" x14ac:dyDescent="0.3">
      <c r="A17" s="66">
        <v>2630.6471999999999</v>
      </c>
      <c r="B17" s="68">
        <v>36</v>
      </c>
      <c r="C17" s="97">
        <v>45</v>
      </c>
      <c r="D17" t="s">
        <v>268</v>
      </c>
    </row>
    <row r="18" spans="1:4" x14ac:dyDescent="0.3">
      <c r="A18" s="66">
        <v>2814.2177999999999</v>
      </c>
      <c r="B18" s="68">
        <v>34</v>
      </c>
      <c r="C18" s="97">
        <v>45</v>
      </c>
      <c r="D18" t="s">
        <v>259</v>
      </c>
    </row>
    <row r="19" spans="1:4" x14ac:dyDescent="0.3">
      <c r="A19" s="66">
        <v>2893.6003000000001</v>
      </c>
      <c r="B19" s="68">
        <v>30</v>
      </c>
      <c r="C19" s="97">
        <v>45</v>
      </c>
      <c r="D19" t="s">
        <v>260</v>
      </c>
    </row>
    <row r="20" spans="1:4" x14ac:dyDescent="0.3">
      <c r="A20" s="66">
        <v>2906.9843999999998</v>
      </c>
      <c r="B20" s="68">
        <v>32</v>
      </c>
      <c r="C20" s="97">
        <v>45</v>
      </c>
      <c r="D20" t="s">
        <v>269</v>
      </c>
    </row>
    <row r="21" spans="1:4" x14ac:dyDescent="0.3">
      <c r="A21" s="66">
        <v>2920.3685</v>
      </c>
      <c r="B21" s="68">
        <v>34</v>
      </c>
      <c r="C21" s="97">
        <v>45</v>
      </c>
      <c r="D21" t="s">
        <v>270</v>
      </c>
    </row>
    <row r="22" spans="1:4" x14ac:dyDescent="0.3">
      <c r="A22" s="66">
        <v>3196.7057</v>
      </c>
      <c r="B22" s="68">
        <v>30</v>
      </c>
      <c r="C22" s="97">
        <v>45</v>
      </c>
      <c r="D22" t="s">
        <v>271</v>
      </c>
    </row>
    <row r="23" spans="1:4" x14ac:dyDescent="0.3">
      <c r="A23" s="66">
        <v>3210.0898000000002</v>
      </c>
      <c r="B23" s="68">
        <v>32</v>
      </c>
      <c r="C23" s="97">
        <v>45</v>
      </c>
      <c r="D23" t="s">
        <v>272</v>
      </c>
    </row>
    <row r="24" spans="1:4" x14ac:dyDescent="0.3">
      <c r="A24" s="66">
        <v>3374.6107000000002</v>
      </c>
      <c r="B24" s="68">
        <v>44</v>
      </c>
      <c r="C24" s="97">
        <v>45</v>
      </c>
      <c r="D24" t="s">
        <v>261</v>
      </c>
    </row>
    <row r="25" spans="1:4" x14ac:dyDescent="0.3">
      <c r="A25" s="66">
        <v>3387.9947999999999</v>
      </c>
      <c r="B25" s="68">
        <v>46</v>
      </c>
      <c r="C25" s="97">
        <v>45</v>
      </c>
      <c r="D25" t="s">
        <v>273</v>
      </c>
    </row>
    <row r="26" spans="1:4" x14ac:dyDescent="0.3">
      <c r="A26" s="66">
        <v>3401.3789000000002</v>
      </c>
      <c r="B26" s="68">
        <v>48</v>
      </c>
      <c r="C26" s="97">
        <v>45</v>
      </c>
      <c r="D26" t="s">
        <v>274</v>
      </c>
    </row>
    <row r="27" spans="1:4" x14ac:dyDescent="0.3">
      <c r="A27" s="66">
        <v>3467.3773000000001</v>
      </c>
      <c r="B27" s="68">
        <v>42</v>
      </c>
      <c r="C27" s="97">
        <v>45</v>
      </c>
      <c r="D27" t="s">
        <v>329</v>
      </c>
    </row>
    <row r="28" spans="1:4" x14ac:dyDescent="0.3">
      <c r="A28" s="66">
        <v>3480.7613999999999</v>
      </c>
      <c r="B28" s="68">
        <v>44</v>
      </c>
      <c r="C28" s="97">
        <v>45</v>
      </c>
      <c r="D28" t="s">
        <v>275</v>
      </c>
    </row>
    <row r="29" spans="1:4" x14ac:dyDescent="0.3">
      <c r="A29" s="66">
        <v>3494.1455000000001</v>
      </c>
      <c r="B29" s="68">
        <v>46</v>
      </c>
      <c r="C29" s="97">
        <v>45</v>
      </c>
      <c r="D29" t="s">
        <v>276</v>
      </c>
    </row>
    <row r="30" spans="1:4" x14ac:dyDescent="0.3">
      <c r="A30" s="66">
        <v>3677.7161000000001</v>
      </c>
      <c r="B30" s="68">
        <v>44</v>
      </c>
      <c r="C30" s="97">
        <v>45</v>
      </c>
      <c r="D30" t="s">
        <v>262</v>
      </c>
    </row>
    <row r="31" spans="1:4" x14ac:dyDescent="0.3">
      <c r="A31" s="66">
        <v>3691.1001999999999</v>
      </c>
      <c r="B31" s="68">
        <v>46</v>
      </c>
      <c r="C31" s="97">
        <v>45</v>
      </c>
      <c r="D31" t="s">
        <v>277</v>
      </c>
    </row>
    <row r="32" spans="1:4" x14ac:dyDescent="0.3">
      <c r="A32" s="66">
        <v>3757.0985999999998</v>
      </c>
      <c r="B32" s="68">
        <v>40</v>
      </c>
      <c r="C32" s="97">
        <v>45</v>
      </c>
      <c r="D32" t="s">
        <v>330</v>
      </c>
    </row>
    <row r="33" spans="1:4" x14ac:dyDescent="0.3">
      <c r="A33" s="66">
        <v>3770.4827</v>
      </c>
      <c r="B33" s="68">
        <v>42</v>
      </c>
      <c r="C33" s="97">
        <v>45</v>
      </c>
      <c r="D33" t="s">
        <v>278</v>
      </c>
    </row>
    <row r="34" spans="1:4" x14ac:dyDescent="0.3">
      <c r="A34" s="66">
        <v>3783.8667999999998</v>
      </c>
      <c r="B34" s="68">
        <v>44</v>
      </c>
      <c r="C34" s="97">
        <v>45</v>
      </c>
      <c r="D34" t="s">
        <v>279</v>
      </c>
    </row>
    <row r="35" spans="1:4" x14ac:dyDescent="0.3">
      <c r="A35" s="66">
        <v>3797.2509</v>
      </c>
      <c r="B35" s="68">
        <v>46</v>
      </c>
      <c r="C35" s="97">
        <v>45</v>
      </c>
      <c r="D35" t="s">
        <v>280</v>
      </c>
    </row>
    <row r="36" spans="1:4" x14ac:dyDescent="0.3">
      <c r="A36" s="66">
        <v>3980.8215</v>
      </c>
      <c r="B36" s="68">
        <v>44</v>
      </c>
      <c r="C36" s="97">
        <v>45</v>
      </c>
      <c r="D36" t="s">
        <v>281</v>
      </c>
    </row>
    <row r="37" spans="1:4" x14ac:dyDescent="0.3">
      <c r="A37" s="66">
        <v>4060.2040000000002</v>
      </c>
      <c r="B37" s="68">
        <v>40</v>
      </c>
      <c r="C37" s="97">
        <v>45</v>
      </c>
      <c r="D37" t="s">
        <v>282</v>
      </c>
    </row>
    <row r="38" spans="1:4" x14ac:dyDescent="0.3">
      <c r="A38" s="66">
        <v>4073.5880999999999</v>
      </c>
      <c r="B38" s="68">
        <v>42</v>
      </c>
      <c r="C38" s="97">
        <v>45</v>
      </c>
      <c r="D38" t="s">
        <v>283</v>
      </c>
    </row>
    <row r="39" spans="1:4" x14ac:dyDescent="0.3">
      <c r="A39" s="66">
        <v>4086.9722000000002</v>
      </c>
      <c r="B39" s="68">
        <v>44</v>
      </c>
      <c r="C39" s="97">
        <v>45</v>
      </c>
      <c r="D39" t="s">
        <v>284</v>
      </c>
    </row>
    <row r="40" spans="1:4" x14ac:dyDescent="0.3">
      <c r="A40" s="66">
        <v>4238.1090000000004</v>
      </c>
      <c r="B40" s="68">
        <v>54</v>
      </c>
      <c r="C40" s="97">
        <v>45</v>
      </c>
      <c r="D40" t="s">
        <v>331</v>
      </c>
    </row>
    <row r="41" spans="1:4" x14ac:dyDescent="0.3">
      <c r="A41" s="66">
        <v>4251.4930999999997</v>
      </c>
      <c r="B41" s="68">
        <v>56</v>
      </c>
      <c r="C41" s="97">
        <v>45</v>
      </c>
      <c r="D41" t="s">
        <v>285</v>
      </c>
    </row>
    <row r="42" spans="1:4" x14ac:dyDescent="0.3">
      <c r="A42" s="66">
        <v>4264.8771999999999</v>
      </c>
      <c r="B42" s="68">
        <v>58</v>
      </c>
      <c r="C42" s="97">
        <v>45</v>
      </c>
      <c r="D42" t="s">
        <v>286</v>
      </c>
    </row>
    <row r="43" spans="1:4" x14ac:dyDescent="0.3">
      <c r="A43" s="66">
        <v>4278.2613000000001</v>
      </c>
      <c r="B43" s="68">
        <v>60</v>
      </c>
      <c r="C43" s="97">
        <v>45</v>
      </c>
      <c r="D43" t="s">
        <v>287</v>
      </c>
    </row>
    <row r="44" spans="1:4" x14ac:dyDescent="0.3">
      <c r="A44" s="66">
        <v>4344.2596999999996</v>
      </c>
      <c r="B44" s="68">
        <v>54</v>
      </c>
      <c r="C44" s="97">
        <v>45</v>
      </c>
      <c r="D44" t="s">
        <v>332</v>
      </c>
    </row>
    <row r="45" spans="1:4" x14ac:dyDescent="0.3">
      <c r="A45" s="66">
        <v>4357.6437999999998</v>
      </c>
      <c r="B45" s="68">
        <v>56</v>
      </c>
      <c r="C45" s="97">
        <v>45</v>
      </c>
      <c r="D45" t="s">
        <v>288</v>
      </c>
    </row>
    <row r="46" spans="1:4" x14ac:dyDescent="0.3">
      <c r="A46" s="66">
        <v>4541.2143999999998</v>
      </c>
      <c r="B46" s="68">
        <v>54</v>
      </c>
      <c r="C46" s="97">
        <v>45</v>
      </c>
      <c r="D46" t="s">
        <v>263</v>
      </c>
    </row>
    <row r="47" spans="1:4" x14ac:dyDescent="0.3">
      <c r="A47" s="66">
        <v>4554.5985000000001</v>
      </c>
      <c r="B47" s="68">
        <v>56</v>
      </c>
      <c r="C47" s="97">
        <v>45</v>
      </c>
      <c r="D47" t="s">
        <v>289</v>
      </c>
    </row>
    <row r="48" spans="1:4" x14ac:dyDescent="0.3">
      <c r="A48" s="66">
        <v>4567.9826000000003</v>
      </c>
      <c r="B48" s="68">
        <v>58</v>
      </c>
      <c r="C48" s="97">
        <v>45</v>
      </c>
      <c r="D48" t="s">
        <v>290</v>
      </c>
    </row>
    <row r="49" spans="1:4" x14ac:dyDescent="0.3">
      <c r="A49" s="66">
        <v>4633.9809999999998</v>
      </c>
      <c r="B49" s="68">
        <v>52</v>
      </c>
      <c r="C49" s="97">
        <v>45</v>
      </c>
      <c r="D49" t="s">
        <v>333</v>
      </c>
    </row>
    <row r="50" spans="1:4" x14ac:dyDescent="0.3">
      <c r="A50" s="66">
        <v>4647.3651</v>
      </c>
      <c r="B50" s="68">
        <v>54</v>
      </c>
      <c r="C50" s="97">
        <v>45</v>
      </c>
      <c r="D50" t="s">
        <v>291</v>
      </c>
    </row>
    <row r="51" spans="1:4" x14ac:dyDescent="0.3">
      <c r="A51" s="66">
        <v>4660.7492000000002</v>
      </c>
      <c r="B51" s="68">
        <v>56</v>
      </c>
      <c r="C51" s="97">
        <v>45</v>
      </c>
      <c r="D51" t="s">
        <v>292</v>
      </c>
    </row>
    <row r="52" spans="1:4" x14ac:dyDescent="0.3">
      <c r="A52" s="66">
        <v>4844.3198000000002</v>
      </c>
      <c r="B52" s="68">
        <v>54</v>
      </c>
      <c r="C52" s="97">
        <v>45</v>
      </c>
      <c r="D52" t="s">
        <v>293</v>
      </c>
    </row>
    <row r="53" spans="1:4" x14ac:dyDescent="0.3">
      <c r="A53" s="66">
        <v>4857.7039000000004</v>
      </c>
      <c r="B53" s="68">
        <v>56</v>
      </c>
      <c r="C53" s="97">
        <v>45</v>
      </c>
      <c r="D53" t="s">
        <v>294</v>
      </c>
    </row>
    <row r="54" spans="1:4" x14ac:dyDescent="0.3">
      <c r="A54" s="66">
        <v>4923.7022999999999</v>
      </c>
      <c r="B54" s="68">
        <v>50</v>
      </c>
      <c r="C54" s="97">
        <v>45</v>
      </c>
      <c r="D54" t="s">
        <v>334</v>
      </c>
    </row>
    <row r="55" spans="1:4" x14ac:dyDescent="0.3">
      <c r="A55" s="66">
        <v>4937.0864000000001</v>
      </c>
      <c r="B55" s="68">
        <v>52</v>
      </c>
      <c r="C55" s="97">
        <v>45</v>
      </c>
      <c r="D55" t="s">
        <v>295</v>
      </c>
    </row>
    <row r="56" spans="1:4" x14ac:dyDescent="0.3">
      <c r="A56" s="66">
        <v>4950.4705000000004</v>
      </c>
      <c r="B56" s="68">
        <v>54</v>
      </c>
      <c r="C56" s="97">
        <v>45</v>
      </c>
      <c r="D56" t="s">
        <v>296</v>
      </c>
    </row>
    <row r="57" spans="1:4" x14ac:dyDescent="0.3">
      <c r="A57" s="66">
        <v>4963.8545999999997</v>
      </c>
      <c r="B57" s="68">
        <v>56</v>
      </c>
      <c r="C57" s="97">
        <v>45</v>
      </c>
      <c r="D57" t="s">
        <v>297</v>
      </c>
    </row>
    <row r="58" spans="1:4" x14ac:dyDescent="0.3">
      <c r="A58" s="66">
        <v>5114.9913999999999</v>
      </c>
      <c r="B58" s="68">
        <v>66</v>
      </c>
      <c r="C58" s="97">
        <v>45</v>
      </c>
      <c r="D58" t="s">
        <v>335</v>
      </c>
    </row>
    <row r="59" spans="1:4" x14ac:dyDescent="0.3">
      <c r="A59" s="66">
        <v>5128.3755000000001</v>
      </c>
      <c r="B59" s="68">
        <v>68</v>
      </c>
      <c r="C59" s="97">
        <v>45</v>
      </c>
      <c r="D59" t="s">
        <v>298</v>
      </c>
    </row>
    <row r="60" spans="1:4" x14ac:dyDescent="0.3">
      <c r="A60" s="66">
        <v>5141.7596000000003</v>
      </c>
      <c r="B60" s="68">
        <v>70</v>
      </c>
      <c r="C60" s="97">
        <v>45</v>
      </c>
      <c r="D60" t="s">
        <v>299</v>
      </c>
    </row>
    <row r="61" spans="1:4" x14ac:dyDescent="0.3">
      <c r="A61" s="66">
        <v>5221.1421</v>
      </c>
      <c r="B61" s="68">
        <v>66</v>
      </c>
      <c r="C61" s="97">
        <v>45</v>
      </c>
      <c r="D61" t="s">
        <v>336</v>
      </c>
    </row>
    <row r="62" spans="1:4" x14ac:dyDescent="0.3">
      <c r="A62" s="66">
        <v>5404.7127</v>
      </c>
      <c r="B62" s="68">
        <v>64</v>
      </c>
      <c r="C62" s="97">
        <v>45</v>
      </c>
      <c r="D62" t="s">
        <v>337</v>
      </c>
    </row>
    <row r="63" spans="1:4" x14ac:dyDescent="0.3">
      <c r="A63" s="66">
        <v>5418.0968000000003</v>
      </c>
      <c r="B63" s="68">
        <v>66</v>
      </c>
      <c r="C63" s="97">
        <v>45</v>
      </c>
      <c r="D63" t="s">
        <v>300</v>
      </c>
    </row>
    <row r="64" spans="1:4" x14ac:dyDescent="0.3">
      <c r="A64" s="66">
        <v>5431.4808999999996</v>
      </c>
      <c r="B64" s="68">
        <v>68</v>
      </c>
      <c r="C64" s="97">
        <v>45</v>
      </c>
      <c r="D64" t="s">
        <v>301</v>
      </c>
    </row>
    <row r="65" spans="1:4" x14ac:dyDescent="0.3">
      <c r="A65" s="66">
        <v>5444.8649999999998</v>
      </c>
      <c r="B65" s="68">
        <v>70</v>
      </c>
      <c r="C65" s="97">
        <v>45</v>
      </c>
      <c r="D65" t="s">
        <v>302</v>
      </c>
    </row>
    <row r="66" spans="1:4" x14ac:dyDescent="0.3">
      <c r="A66" s="66">
        <v>5510.8634000000002</v>
      </c>
      <c r="B66" s="68">
        <v>64</v>
      </c>
      <c r="C66" s="97">
        <v>45</v>
      </c>
      <c r="D66" t="s">
        <v>338</v>
      </c>
    </row>
    <row r="67" spans="1:4" x14ac:dyDescent="0.3">
      <c r="A67" s="66">
        <v>5524.2475000000004</v>
      </c>
      <c r="B67" s="68">
        <v>66</v>
      </c>
      <c r="C67" s="97">
        <v>45</v>
      </c>
      <c r="D67" t="s">
        <v>303</v>
      </c>
    </row>
    <row r="68" spans="1:4" x14ac:dyDescent="0.3">
      <c r="A68" s="66">
        <v>5707.8181000000004</v>
      </c>
      <c r="B68" s="68">
        <v>64</v>
      </c>
      <c r="C68" s="97">
        <v>45</v>
      </c>
      <c r="D68" t="s">
        <v>304</v>
      </c>
    </row>
    <row r="69" spans="1:4" x14ac:dyDescent="0.3">
      <c r="A69" s="66">
        <v>5721.2021999999997</v>
      </c>
      <c r="B69" s="68">
        <v>66</v>
      </c>
      <c r="C69" s="97">
        <v>45</v>
      </c>
      <c r="D69" t="s">
        <v>305</v>
      </c>
    </row>
    <row r="70" spans="1:4" x14ac:dyDescent="0.3">
      <c r="A70" s="66">
        <v>5734.5862999999999</v>
      </c>
      <c r="B70" s="68">
        <v>68</v>
      </c>
      <c r="C70" s="97">
        <v>45</v>
      </c>
      <c r="D70" t="s">
        <v>306</v>
      </c>
    </row>
    <row r="71" spans="1:4" x14ac:dyDescent="0.3">
      <c r="A71" s="66">
        <v>5800.5847000000003</v>
      </c>
      <c r="B71" s="68">
        <v>62</v>
      </c>
      <c r="C71" s="97">
        <v>45</v>
      </c>
      <c r="D71" t="s">
        <v>339</v>
      </c>
    </row>
    <row r="72" spans="1:4" x14ac:dyDescent="0.3">
      <c r="A72" s="66">
        <v>5813.9687999999996</v>
      </c>
      <c r="B72" s="68">
        <v>64</v>
      </c>
      <c r="C72" s="97">
        <v>45</v>
      </c>
      <c r="D72" t="s">
        <v>307</v>
      </c>
    </row>
    <row r="73" spans="1:4" x14ac:dyDescent="0.3">
      <c r="A73" s="66">
        <v>5827.3528999999999</v>
      </c>
      <c r="B73" s="68">
        <v>66</v>
      </c>
      <c r="C73" s="97">
        <v>45</v>
      </c>
      <c r="D73" t="s">
        <v>308</v>
      </c>
    </row>
    <row r="74" spans="1:4" x14ac:dyDescent="0.3">
      <c r="A74" s="66">
        <v>5991.8738000000003</v>
      </c>
      <c r="B74" s="68">
        <v>78</v>
      </c>
      <c r="C74" s="97">
        <v>45</v>
      </c>
      <c r="D74" t="s">
        <v>340</v>
      </c>
    </row>
    <row r="75" spans="1:4" x14ac:dyDescent="0.3">
      <c r="A75" s="66">
        <v>6005.2578999999996</v>
      </c>
      <c r="B75" s="68">
        <v>80</v>
      </c>
      <c r="C75" s="97">
        <v>45</v>
      </c>
      <c r="D75" t="s">
        <v>309</v>
      </c>
    </row>
    <row r="76" spans="1:4" x14ac:dyDescent="0.3">
      <c r="A76" s="66">
        <v>6281.5950999999995</v>
      </c>
      <c r="B76" s="68">
        <v>76</v>
      </c>
      <c r="C76" s="97">
        <v>45</v>
      </c>
      <c r="D76" t="s">
        <v>341</v>
      </c>
    </row>
    <row r="77" spans="1:4" x14ac:dyDescent="0.3">
      <c r="A77" s="66">
        <v>6294.9791999999998</v>
      </c>
      <c r="B77" s="68">
        <v>78</v>
      </c>
      <c r="C77" s="97">
        <v>45</v>
      </c>
      <c r="D77" t="s">
        <v>310</v>
      </c>
    </row>
    <row r="78" spans="1:4" x14ac:dyDescent="0.3">
      <c r="A78" s="66">
        <v>6308.3633</v>
      </c>
      <c r="B78" s="68">
        <v>80</v>
      </c>
      <c r="C78" s="97">
        <v>45</v>
      </c>
      <c r="D78" t="s">
        <v>311</v>
      </c>
    </row>
    <row r="79" spans="1:4" x14ac:dyDescent="0.3">
      <c r="A79" s="66">
        <v>6387.7457999999997</v>
      </c>
      <c r="B79" s="68">
        <v>76</v>
      </c>
      <c r="C79" s="97">
        <v>45</v>
      </c>
      <c r="D79" t="s">
        <v>342</v>
      </c>
    </row>
    <row r="80" spans="1:4" x14ac:dyDescent="0.3">
      <c r="A80" s="66">
        <v>6571.3163999999997</v>
      </c>
      <c r="B80" s="68">
        <v>74</v>
      </c>
      <c r="C80" s="97">
        <v>45</v>
      </c>
      <c r="D80" t="s">
        <v>343</v>
      </c>
    </row>
    <row r="81" spans="1:4" x14ac:dyDescent="0.3">
      <c r="A81" s="66">
        <v>6584.7004999999999</v>
      </c>
      <c r="B81" s="68">
        <v>76</v>
      </c>
      <c r="C81" s="97">
        <v>45</v>
      </c>
      <c r="D81" t="s">
        <v>312</v>
      </c>
    </row>
    <row r="82" spans="1:4" x14ac:dyDescent="0.3">
      <c r="A82" s="66">
        <v>6598.0846000000001</v>
      </c>
      <c r="B82" s="68">
        <v>78</v>
      </c>
      <c r="C82" s="97">
        <v>45</v>
      </c>
      <c r="D82" t="s">
        <v>313</v>
      </c>
    </row>
    <row r="83" spans="1:4" x14ac:dyDescent="0.3">
      <c r="A83" s="66">
        <v>6611.4687000000004</v>
      </c>
      <c r="B83" s="68">
        <v>80</v>
      </c>
      <c r="C83" s="97">
        <v>45</v>
      </c>
      <c r="D83" t="s">
        <v>314</v>
      </c>
    </row>
    <row r="84" spans="1:4" x14ac:dyDescent="0.3">
      <c r="A84" s="66">
        <v>6677.4670999999998</v>
      </c>
      <c r="B84" s="68">
        <v>74</v>
      </c>
      <c r="C84" s="97">
        <v>45</v>
      </c>
      <c r="D84" t="s">
        <v>344</v>
      </c>
    </row>
    <row r="85" spans="1:4" x14ac:dyDescent="0.3">
      <c r="A85" s="66">
        <v>6690.8512000000001</v>
      </c>
      <c r="B85" s="68">
        <v>76</v>
      </c>
      <c r="C85" s="97">
        <v>45</v>
      </c>
      <c r="D85" t="s">
        <v>315</v>
      </c>
    </row>
    <row r="86" spans="1:4" x14ac:dyDescent="0.3">
      <c r="A86" s="66">
        <v>6868.7561999999998</v>
      </c>
      <c r="B86" s="68">
        <v>90</v>
      </c>
      <c r="C86" s="97">
        <v>45</v>
      </c>
      <c r="D86" t="s">
        <v>345</v>
      </c>
    </row>
    <row r="87" spans="1:4" x14ac:dyDescent="0.3">
      <c r="A87" s="66">
        <v>7158.4775</v>
      </c>
      <c r="B87" s="68">
        <v>88</v>
      </c>
      <c r="C87" s="97">
        <v>45</v>
      </c>
      <c r="D87" t="s">
        <v>346</v>
      </c>
    </row>
    <row r="88" spans="1:4" x14ac:dyDescent="0.3">
      <c r="A88" s="66">
        <v>7171.8616000000002</v>
      </c>
      <c r="B88" s="68">
        <v>90</v>
      </c>
      <c r="C88" s="97">
        <v>45</v>
      </c>
      <c r="D88" t="s">
        <v>316</v>
      </c>
    </row>
    <row r="89" spans="1:4" x14ac:dyDescent="0.3">
      <c r="A89" s="66">
        <v>7448.1988000000001</v>
      </c>
      <c r="B89" s="68">
        <v>86</v>
      </c>
      <c r="C89" s="97">
        <v>45</v>
      </c>
      <c r="D89" t="s">
        <v>347</v>
      </c>
    </row>
    <row r="90" spans="1:4" x14ac:dyDescent="0.3">
      <c r="A90" s="66">
        <v>7461.5829000000003</v>
      </c>
      <c r="B90" s="68">
        <v>88</v>
      </c>
      <c r="C90" s="97">
        <v>45</v>
      </c>
      <c r="D90" t="s">
        <v>317</v>
      </c>
    </row>
    <row r="91" spans="1:4" x14ac:dyDescent="0.3">
      <c r="A91" s="66">
        <v>7474.9669999999996</v>
      </c>
      <c r="B91" s="68">
        <v>90</v>
      </c>
      <c r="C91" s="97">
        <v>45</v>
      </c>
      <c r="D91" t="s">
        <v>318</v>
      </c>
    </row>
    <row r="92" spans="1:4" x14ac:dyDescent="0.3">
      <c r="A92" s="66">
        <v>7554.3495000000003</v>
      </c>
      <c r="B92" s="68">
        <v>86</v>
      </c>
      <c r="C92" s="97">
        <v>45</v>
      </c>
      <c r="D92" t="s">
        <v>348</v>
      </c>
    </row>
    <row r="93" spans="1:4" x14ac:dyDescent="0.3">
      <c r="A93" s="66">
        <v>8035.3599000000004</v>
      </c>
      <c r="B93" s="68">
        <v>100</v>
      </c>
      <c r="C93" s="97">
        <v>45</v>
      </c>
      <c r="D93" t="s">
        <v>349</v>
      </c>
    </row>
    <row r="94" spans="1:4" x14ac:dyDescent="0.3">
      <c r="A94" s="66">
        <v>8325.0812000000005</v>
      </c>
      <c r="B94" s="68">
        <v>98</v>
      </c>
      <c r="C94" s="97">
        <v>45</v>
      </c>
      <c r="D94" t="s">
        <v>350</v>
      </c>
    </row>
    <row r="95" spans="1:4" x14ac:dyDescent="0.3">
      <c r="A95" s="66">
        <v>8338.4652999999998</v>
      </c>
      <c r="B95" s="68">
        <v>100</v>
      </c>
      <c r="C95" s="97">
        <v>45</v>
      </c>
      <c r="D95" t="s">
        <v>319</v>
      </c>
    </row>
    <row r="96" spans="1:4" x14ac:dyDescent="0.3">
      <c r="A96" s="66">
        <v>9201.9635999999991</v>
      </c>
      <c r="B96" s="68">
        <v>110</v>
      </c>
      <c r="C96" s="97">
        <v>45</v>
      </c>
      <c r="D96" t="s">
        <v>351</v>
      </c>
    </row>
  </sheetData>
  <sheetProtection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autoPageBreaks="0"/>
  </sheetPr>
  <dimension ref="A1:U26"/>
  <sheetViews>
    <sheetView showGridLines="0" zoomScale="125" zoomScaleNormal="125" workbookViewId="0">
      <selection activeCell="H8" sqref="H8"/>
    </sheetView>
  </sheetViews>
  <sheetFormatPr defaultRowHeight="14.4" x14ac:dyDescent="0.3"/>
  <cols>
    <col min="1" max="1" width="9.109375" style="63"/>
    <col min="2" max="2" width="9.109375" style="64"/>
    <col min="3" max="3" width="23.6640625" style="94" customWidth="1"/>
    <col min="4" max="4" width="75.6640625" customWidth="1"/>
  </cols>
  <sheetData>
    <row r="1" spans="1:4" s="62" customFormat="1" ht="24.9" customHeight="1" thickBot="1" x14ac:dyDescent="0.35">
      <c r="A1" s="65" t="s">
        <v>217</v>
      </c>
      <c r="B1" s="69" t="s">
        <v>218</v>
      </c>
      <c r="C1" s="93" t="s">
        <v>257</v>
      </c>
      <c r="D1" s="96" t="s">
        <v>219</v>
      </c>
    </row>
    <row r="2" spans="1:4" x14ac:dyDescent="0.3">
      <c r="A2" s="63">
        <v>1166.6036999999999</v>
      </c>
      <c r="B2" s="64">
        <v>16</v>
      </c>
      <c r="C2" s="94">
        <v>45</v>
      </c>
      <c r="D2" t="s">
        <v>246</v>
      </c>
    </row>
    <row r="3" spans="1:4" x14ac:dyDescent="0.3">
      <c r="A3" s="63">
        <v>1726.9965999999999</v>
      </c>
      <c r="B3" s="64">
        <v>20</v>
      </c>
      <c r="C3" s="94">
        <v>45</v>
      </c>
      <c r="D3" t="s">
        <v>321</v>
      </c>
    </row>
    <row r="4" spans="1:4" x14ac:dyDescent="0.3">
      <c r="A4" s="63">
        <v>2030.1020000000001</v>
      </c>
      <c r="B4" s="64">
        <v>26</v>
      </c>
      <c r="C4" s="94">
        <v>45</v>
      </c>
      <c r="D4" t="s">
        <v>322</v>
      </c>
    </row>
    <row r="5" spans="1:4" x14ac:dyDescent="0.3">
      <c r="A5" s="63">
        <v>2333.2073999999998</v>
      </c>
      <c r="B5" s="64">
        <v>32</v>
      </c>
      <c r="C5" s="94">
        <v>45</v>
      </c>
      <c r="D5" t="s">
        <v>323</v>
      </c>
    </row>
    <row r="6" spans="1:4" x14ac:dyDescent="0.3">
      <c r="A6" s="63">
        <v>2511.1124</v>
      </c>
      <c r="B6" s="64">
        <v>22</v>
      </c>
      <c r="C6" s="94">
        <v>45</v>
      </c>
      <c r="D6" t="s">
        <v>258</v>
      </c>
    </row>
    <row r="7" spans="1:4" x14ac:dyDescent="0.3">
      <c r="A7" s="63">
        <v>2590.4949000000001</v>
      </c>
      <c r="B7" s="64">
        <v>30</v>
      </c>
      <c r="C7" s="94">
        <v>45</v>
      </c>
      <c r="D7" t="s">
        <v>328</v>
      </c>
    </row>
    <row r="8" spans="1:4" x14ac:dyDescent="0.3">
      <c r="A8" s="63">
        <v>2814.2177999999999</v>
      </c>
      <c r="B8" s="64">
        <v>28</v>
      </c>
      <c r="C8" s="94">
        <v>45</v>
      </c>
      <c r="D8" t="s">
        <v>259</v>
      </c>
    </row>
    <row r="9" spans="1:4" x14ac:dyDescent="0.3">
      <c r="A9" s="63">
        <v>2893.6003000000001</v>
      </c>
      <c r="B9" s="64">
        <v>36</v>
      </c>
      <c r="C9" s="94">
        <v>45</v>
      </c>
      <c r="D9" t="s">
        <v>260</v>
      </c>
    </row>
    <row r="10" spans="1:4" x14ac:dyDescent="0.3">
      <c r="A10" s="63">
        <v>3196.7057</v>
      </c>
      <c r="B10" s="64">
        <v>42</v>
      </c>
      <c r="C10" s="94">
        <v>45</v>
      </c>
      <c r="D10" t="s">
        <v>271</v>
      </c>
    </row>
    <row r="11" spans="1:4" x14ac:dyDescent="0.3">
      <c r="A11" s="63">
        <v>3374.6107000000002</v>
      </c>
      <c r="B11" s="64">
        <v>32</v>
      </c>
      <c r="C11" s="94">
        <v>45</v>
      </c>
      <c r="D11" t="s">
        <v>261</v>
      </c>
    </row>
    <row r="12" spans="1:4" x14ac:dyDescent="0.3">
      <c r="A12" s="63">
        <v>3677.7161000000001</v>
      </c>
      <c r="B12" s="64">
        <v>38</v>
      </c>
      <c r="C12" s="94">
        <v>45</v>
      </c>
      <c r="D12" t="s">
        <v>262</v>
      </c>
    </row>
    <row r="13" spans="1:4" x14ac:dyDescent="0.3">
      <c r="A13" s="63">
        <v>3757.0985999999998</v>
      </c>
      <c r="B13" s="64">
        <v>46</v>
      </c>
      <c r="C13" s="94">
        <v>45</v>
      </c>
      <c r="D13" t="s">
        <v>330</v>
      </c>
    </row>
    <row r="14" spans="1:4" x14ac:dyDescent="0.3">
      <c r="A14" s="63">
        <v>3980.8215</v>
      </c>
      <c r="B14" s="64">
        <v>44</v>
      </c>
      <c r="C14" s="94">
        <v>45</v>
      </c>
      <c r="D14" t="s">
        <v>281</v>
      </c>
    </row>
    <row r="15" spans="1:4" x14ac:dyDescent="0.3">
      <c r="A15" s="63">
        <v>4060.2040000000002</v>
      </c>
      <c r="B15" s="64">
        <v>52</v>
      </c>
      <c r="C15" s="94">
        <v>45</v>
      </c>
      <c r="D15" t="s">
        <v>282</v>
      </c>
    </row>
    <row r="16" spans="1:4" x14ac:dyDescent="0.3">
      <c r="A16" s="63">
        <v>4238.1090000000004</v>
      </c>
      <c r="B16" s="64">
        <v>42</v>
      </c>
      <c r="C16" s="94">
        <v>45</v>
      </c>
      <c r="D16" t="s">
        <v>331</v>
      </c>
    </row>
    <row r="17" spans="1:21" x14ac:dyDescent="0.3">
      <c r="A17" s="63">
        <v>4541.2143999999998</v>
      </c>
      <c r="B17" s="64">
        <v>48</v>
      </c>
      <c r="C17" s="94">
        <v>45</v>
      </c>
      <c r="D17" t="s">
        <v>263</v>
      </c>
    </row>
    <row r="18" spans="1:21" x14ac:dyDescent="0.3">
      <c r="A18" s="63">
        <v>4844.3198000000002</v>
      </c>
      <c r="B18" s="64">
        <v>54</v>
      </c>
      <c r="C18" s="94">
        <v>45</v>
      </c>
      <c r="D18" t="s">
        <v>293</v>
      </c>
    </row>
    <row r="19" spans="1:21" x14ac:dyDescent="0.3">
      <c r="A19" s="63">
        <v>4923.7022999999999</v>
      </c>
      <c r="B19" s="64">
        <v>62</v>
      </c>
      <c r="C19" s="94">
        <v>45</v>
      </c>
      <c r="D19" t="s">
        <v>334</v>
      </c>
    </row>
    <row r="20" spans="1:21" x14ac:dyDescent="0.3">
      <c r="A20" s="63">
        <v>5404.7127</v>
      </c>
      <c r="B20" s="64">
        <v>58</v>
      </c>
      <c r="C20" s="94">
        <v>45</v>
      </c>
      <c r="D20" t="s">
        <v>337</v>
      </c>
    </row>
    <row r="21" spans="1:21" x14ac:dyDescent="0.3">
      <c r="A21" s="63">
        <v>5707.8181000000004</v>
      </c>
      <c r="B21" s="64">
        <v>64</v>
      </c>
      <c r="C21" s="94">
        <v>45</v>
      </c>
      <c r="D21" t="s">
        <v>304</v>
      </c>
    </row>
    <row r="22" spans="1:21" x14ac:dyDescent="0.3">
      <c r="A22" s="63">
        <v>6571.3163999999997</v>
      </c>
      <c r="B22" s="64">
        <v>74</v>
      </c>
      <c r="C22" s="94">
        <v>45</v>
      </c>
      <c r="D22" t="s">
        <v>343</v>
      </c>
    </row>
    <row r="26" spans="1:21" x14ac:dyDescent="0.3">
      <c r="U26" s="246"/>
    </row>
  </sheetData>
  <sheetProtection selectLockedCells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User Interface</vt:lpstr>
      <vt:lpstr>Plow Conf &amp; Procure</vt:lpstr>
      <vt:lpstr>Plow Operating Cost</vt:lpstr>
      <vt:lpstr>Define Route</vt:lpstr>
      <vt:lpstr>Segment Library</vt:lpstr>
      <vt:lpstr>Nodes Library</vt:lpstr>
      <vt:lpstr>Diverge Left</vt:lpstr>
      <vt:lpstr>Diverge Right</vt:lpstr>
      <vt:lpstr>Left Through</vt:lpstr>
      <vt:lpstr>Right Through</vt:lpstr>
      <vt:lpstr>Comparison</vt:lpstr>
      <vt:lpstr>inputInfo</vt:lpstr>
      <vt:lpstr>plowInfo</vt:lpstr>
      <vt:lpstr>plowRouteCategories</vt:lpstr>
      <vt:lpstr>'Diverge Left'!Print_Titles</vt:lpstr>
      <vt:lpstr>'Diverge Right'!Print_Titles</vt:lpstr>
      <vt:lpstr>'Left Through'!Print_Titles</vt:lpstr>
      <vt:lpstr>'Right Through'!Print_Titles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Bennett</dc:creator>
  <cp:lastModifiedBy>Greg Waidley</cp:lastModifiedBy>
  <cp:lastPrinted>2021-01-27T19:11:44Z</cp:lastPrinted>
  <dcterms:created xsi:type="dcterms:W3CDTF">2020-12-03T23:01:18Z</dcterms:created>
  <dcterms:modified xsi:type="dcterms:W3CDTF">2022-01-28T19:52:47Z</dcterms:modified>
</cp:coreProperties>
</file>